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Алексеева\"/>
    </mc:Choice>
  </mc:AlternateContent>
  <xr:revisionPtr revIDLastSave="0" documentId="8_{235EF31A-8B3C-4EFA-8E1D-D5A7D08C62D0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ПРАЙС ТД АМАРЕ" sheetId="1" r:id="rId1"/>
    <sheet name="ПРАЙС ТД АМАРЕ (копия) 1" sheetId="2" state="hidden" r:id="rId2"/>
  </sheets>
  <calcPr calcId="179021"/>
</workbook>
</file>

<file path=xl/calcChain.xml><?xml version="1.0" encoding="utf-8"?>
<calcChain xmlns="http://schemas.openxmlformats.org/spreadsheetml/2006/main">
  <c r="K383" i="2" l="1"/>
  <c r="K382" i="2"/>
  <c r="K380" i="2"/>
  <c r="K379" i="2"/>
  <c r="K378" i="2"/>
  <c r="B378" i="2"/>
  <c r="B377" i="2"/>
  <c r="B376" i="2"/>
  <c r="B375" i="2"/>
  <c r="A374" i="2"/>
  <c r="K373" i="2"/>
  <c r="B373" i="2"/>
  <c r="K372" i="2"/>
  <c r="B372" i="2"/>
  <c r="K371" i="2"/>
  <c r="B371" i="2"/>
  <c r="K370" i="2"/>
  <c r="B370" i="2"/>
  <c r="K369" i="2"/>
  <c r="B369" i="2"/>
  <c r="K368" i="2"/>
  <c r="B367" i="2"/>
  <c r="A366" i="2"/>
  <c r="K365" i="2"/>
  <c r="B365" i="2"/>
  <c r="K364" i="2"/>
  <c r="B364" i="2"/>
  <c r="K363" i="2"/>
  <c r="B363" i="2"/>
  <c r="K362" i="2"/>
  <c r="B362" i="2"/>
  <c r="K361" i="2"/>
  <c r="B360" i="2"/>
  <c r="B359" i="2"/>
  <c r="B358" i="2"/>
  <c r="B355" i="2"/>
  <c r="K354" i="2"/>
  <c r="K353" i="2"/>
  <c r="K352" i="2"/>
  <c r="K351" i="2"/>
  <c r="K350" i="2"/>
  <c r="K349" i="2"/>
  <c r="B349" i="2"/>
  <c r="B348" i="2"/>
  <c r="K347" i="2"/>
  <c r="K346" i="2"/>
  <c r="B344" i="2"/>
  <c r="K343" i="2"/>
  <c r="B343" i="2"/>
  <c r="K342" i="2"/>
  <c r="B342" i="2"/>
  <c r="K341" i="2"/>
  <c r="K340" i="2"/>
  <c r="K339" i="2"/>
  <c r="B339" i="2"/>
  <c r="K338" i="2"/>
  <c r="B338" i="2"/>
  <c r="K337" i="2"/>
  <c r="B337" i="2"/>
  <c r="K336" i="2"/>
  <c r="B336" i="2"/>
  <c r="K335" i="2"/>
  <c r="K334" i="2"/>
  <c r="K333" i="2"/>
  <c r="B333" i="2"/>
  <c r="K332" i="2"/>
  <c r="K331" i="2"/>
  <c r="B331" i="2"/>
  <c r="K330" i="2"/>
  <c r="B330" i="2"/>
  <c r="K329" i="2"/>
  <c r="B329" i="2"/>
  <c r="B328" i="2"/>
  <c r="K327" i="2"/>
  <c r="B327" i="2"/>
  <c r="B326" i="2"/>
  <c r="B324" i="2"/>
  <c r="K323" i="2"/>
  <c r="K322" i="2"/>
  <c r="B322" i="2"/>
  <c r="B321" i="2"/>
  <c r="B320" i="2"/>
  <c r="B318" i="2"/>
  <c r="B317" i="2"/>
  <c r="K316" i="2"/>
  <c r="K315" i="2"/>
  <c r="K314" i="2"/>
  <c r="K313" i="2"/>
  <c r="B313" i="2"/>
  <c r="B312" i="2"/>
  <c r="B311" i="2"/>
  <c r="B304" i="2"/>
  <c r="K303" i="2"/>
  <c r="K302" i="2"/>
  <c r="K301" i="2"/>
  <c r="K299" i="2"/>
  <c r="B299" i="2"/>
  <c r="K298" i="2"/>
  <c r="B298" i="2"/>
  <c r="K297" i="2"/>
  <c r="B297" i="2"/>
  <c r="K296" i="2"/>
  <c r="B296" i="2"/>
  <c r="K295" i="2"/>
  <c r="B295" i="2"/>
  <c r="K294" i="2"/>
  <c r="B294" i="2"/>
  <c r="B293" i="2"/>
  <c r="B291" i="2"/>
  <c r="K290" i="2"/>
  <c r="B290" i="2"/>
  <c r="K289" i="2"/>
  <c r="B289" i="2"/>
  <c r="K288" i="2"/>
  <c r="B288" i="2"/>
  <c r="B287" i="2"/>
  <c r="K286" i="2"/>
  <c r="K284" i="2"/>
  <c r="B284" i="2"/>
  <c r="K283" i="2"/>
  <c r="B281" i="2"/>
  <c r="K280" i="2"/>
  <c r="B280" i="2"/>
  <c r="K279" i="2"/>
  <c r="B279" i="2"/>
  <c r="K278" i="2"/>
  <c r="B278" i="2"/>
  <c r="K277" i="2"/>
  <c r="B277" i="2"/>
  <c r="K276" i="2"/>
  <c r="B276" i="2"/>
  <c r="K275" i="2"/>
  <c r="B275" i="2"/>
  <c r="K274" i="2"/>
  <c r="B274" i="2"/>
  <c r="K273" i="2"/>
  <c r="B273" i="2"/>
  <c r="K272" i="2"/>
  <c r="B270" i="2"/>
  <c r="A269" i="2"/>
  <c r="A268" i="2"/>
  <c r="K267" i="2"/>
  <c r="B267" i="2"/>
  <c r="K266" i="2"/>
  <c r="B266" i="2"/>
  <c r="B265" i="2"/>
  <c r="K264" i="2"/>
  <c r="K263" i="2"/>
  <c r="K262" i="2"/>
  <c r="K261" i="2"/>
  <c r="K260" i="2"/>
  <c r="K259" i="2"/>
  <c r="K258" i="2"/>
  <c r="K257" i="2"/>
  <c r="B257" i="2"/>
  <c r="K256" i="2"/>
  <c r="K255" i="2"/>
  <c r="K254" i="2"/>
  <c r="K253" i="2"/>
  <c r="K252" i="2"/>
  <c r="K251" i="2"/>
  <c r="K250" i="2"/>
  <c r="K249" i="2"/>
  <c r="B249" i="2"/>
  <c r="K248" i="2"/>
  <c r="B248" i="2"/>
  <c r="K247" i="2"/>
  <c r="K246" i="2"/>
  <c r="K245" i="2"/>
  <c r="B245" i="2"/>
  <c r="K244" i="2"/>
  <c r="B244" i="2"/>
  <c r="B243" i="2"/>
  <c r="B242" i="2"/>
  <c r="K241" i="2"/>
  <c r="K240" i="2"/>
  <c r="K239" i="2"/>
  <c r="B239" i="2"/>
  <c r="K238" i="2"/>
  <c r="B238" i="2"/>
  <c r="K237" i="2"/>
  <c r="B237" i="2"/>
  <c r="K236" i="2"/>
  <c r="B236" i="2"/>
  <c r="K235" i="2"/>
  <c r="B235" i="2"/>
  <c r="B234" i="2"/>
  <c r="K232" i="2"/>
  <c r="K231" i="2"/>
  <c r="B231" i="2"/>
  <c r="B230" i="2"/>
  <c r="B229" i="2"/>
  <c r="B228" i="2"/>
  <c r="B227" i="2"/>
  <c r="B226" i="2"/>
  <c r="B225" i="2"/>
  <c r="B224" i="2"/>
  <c r="B223" i="2"/>
  <c r="K222" i="2"/>
  <c r="B222" i="2"/>
  <c r="B221" i="2"/>
  <c r="B220" i="2"/>
  <c r="B219" i="2"/>
  <c r="B218" i="2"/>
  <c r="K217" i="2"/>
  <c r="B217" i="2"/>
  <c r="B216" i="2"/>
  <c r="B215" i="2"/>
  <c r="B214" i="2"/>
  <c r="B213" i="2"/>
  <c r="B212" i="2"/>
  <c r="K211" i="2"/>
  <c r="B210" i="2"/>
  <c r="B209" i="2"/>
  <c r="B208" i="2"/>
  <c r="B207" i="2"/>
  <c r="K206" i="2"/>
  <c r="B206" i="2"/>
  <c r="B205" i="2"/>
  <c r="B204" i="2"/>
  <c r="B203" i="2"/>
  <c r="K202" i="2"/>
  <c r="K201" i="2"/>
  <c r="B201" i="2"/>
  <c r="K200" i="2"/>
  <c r="B200" i="2"/>
  <c r="B199" i="2"/>
  <c r="A198" i="2"/>
  <c r="K197" i="2"/>
  <c r="B197" i="2"/>
  <c r="B196" i="2"/>
  <c r="B195" i="2"/>
  <c r="K194" i="2"/>
  <c r="K193" i="2"/>
  <c r="B193" i="2"/>
  <c r="K191" i="2"/>
  <c r="K190" i="2"/>
  <c r="B189" i="2"/>
  <c r="B188" i="2"/>
  <c r="B187" i="2"/>
  <c r="B186" i="2"/>
  <c r="B185" i="2"/>
  <c r="B181" i="2"/>
  <c r="K180" i="2"/>
  <c r="B180" i="2"/>
  <c r="K179" i="2"/>
  <c r="B179" i="2"/>
  <c r="B178" i="2"/>
  <c r="B177" i="2"/>
  <c r="B176" i="2"/>
  <c r="B175" i="2"/>
  <c r="B174" i="2"/>
  <c r="B173" i="2"/>
  <c r="K172" i="2"/>
  <c r="B172" i="2"/>
  <c r="K171" i="2"/>
  <c r="B171" i="2"/>
  <c r="K170" i="2"/>
  <c r="B170" i="2"/>
  <c r="K169" i="2"/>
  <c r="B169" i="2"/>
  <c r="K168" i="2"/>
  <c r="B168" i="2"/>
  <c r="B167" i="2"/>
  <c r="K166" i="2"/>
  <c r="B166" i="2"/>
  <c r="K165" i="2"/>
  <c r="B165" i="2"/>
  <c r="K164" i="2"/>
  <c r="B164" i="2"/>
  <c r="K163" i="2"/>
  <c r="B163" i="2"/>
  <c r="K162" i="2"/>
  <c r="B162" i="2"/>
  <c r="K161" i="2"/>
  <c r="B161" i="2"/>
  <c r="B160" i="2"/>
  <c r="A159" i="2"/>
  <c r="K158" i="2"/>
  <c r="K156" i="2"/>
  <c r="K154" i="2"/>
  <c r="K153" i="2"/>
  <c r="K150" i="2"/>
  <c r="K148" i="2"/>
  <c r="K146" i="2"/>
  <c r="K145" i="2"/>
  <c r="K143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7" i="2"/>
  <c r="K125" i="2"/>
  <c r="K124" i="2"/>
  <c r="K123" i="2"/>
  <c r="K122" i="2"/>
  <c r="K121" i="2"/>
  <c r="K120" i="2"/>
  <c r="K117" i="2"/>
  <c r="B117" i="2"/>
  <c r="K116" i="2"/>
  <c r="B116" i="2"/>
  <c r="K115" i="2"/>
  <c r="B115" i="2"/>
  <c r="K114" i="2"/>
  <c r="K113" i="2"/>
  <c r="K112" i="2"/>
  <c r="B111" i="2"/>
  <c r="B110" i="2"/>
  <c r="K108" i="2"/>
  <c r="B108" i="2"/>
  <c r="K107" i="2"/>
  <c r="B107" i="2"/>
  <c r="B106" i="2"/>
  <c r="K105" i="2"/>
  <c r="B105" i="2"/>
  <c r="B102" i="2"/>
  <c r="B101" i="2"/>
  <c r="A100" i="2"/>
  <c r="K99" i="2"/>
  <c r="B99" i="2"/>
  <c r="K98" i="2"/>
  <c r="B98" i="2"/>
  <c r="K97" i="2"/>
  <c r="B97" i="2"/>
  <c r="K96" i="2"/>
  <c r="K95" i="2"/>
  <c r="K93" i="2"/>
  <c r="K92" i="2"/>
  <c r="B92" i="2"/>
  <c r="K91" i="2"/>
  <c r="K90" i="2"/>
  <c r="K89" i="2"/>
  <c r="K88" i="2"/>
  <c r="K87" i="2"/>
  <c r="K86" i="2"/>
  <c r="K85" i="2"/>
  <c r="B85" i="2"/>
  <c r="K84" i="2"/>
  <c r="B84" i="2"/>
  <c r="K83" i="2"/>
  <c r="B83" i="2"/>
  <c r="K82" i="2"/>
  <c r="K81" i="2"/>
  <c r="K79" i="2"/>
  <c r="B79" i="2"/>
  <c r="K78" i="2"/>
  <c r="B78" i="2"/>
  <c r="K77" i="2"/>
  <c r="B77" i="2"/>
  <c r="K76" i="2"/>
  <c r="B76" i="2"/>
  <c r="K75" i="2"/>
  <c r="B75" i="2"/>
  <c r="K74" i="2"/>
  <c r="K73" i="2"/>
  <c r="B73" i="2"/>
  <c r="K72" i="2"/>
  <c r="B72" i="2"/>
  <c r="K71" i="2"/>
  <c r="B71" i="2"/>
  <c r="K70" i="2"/>
  <c r="B70" i="2"/>
  <c r="B69" i="2"/>
  <c r="K68" i="2"/>
  <c r="B68" i="2"/>
  <c r="K67" i="2"/>
  <c r="B67" i="2"/>
  <c r="K66" i="2"/>
  <c r="B66" i="2"/>
  <c r="K65" i="2"/>
  <c r="B65" i="2"/>
  <c r="B64" i="2"/>
  <c r="B63" i="2"/>
  <c r="B61" i="2"/>
  <c r="K60" i="2"/>
  <c r="B60" i="2"/>
  <c r="B59" i="2"/>
  <c r="K58" i="2"/>
  <c r="B58" i="2"/>
  <c r="B57" i="2"/>
  <c r="K56" i="2"/>
  <c r="B56" i="2"/>
  <c r="K55" i="2"/>
  <c r="B55" i="2"/>
  <c r="K54" i="2"/>
  <c r="B54" i="2"/>
  <c r="K53" i="2"/>
  <c r="B53" i="2"/>
  <c r="K52" i="2"/>
  <c r="B52" i="2"/>
  <c r="K51" i="2"/>
  <c r="B51" i="2"/>
  <c r="K50" i="2"/>
  <c r="K49" i="2"/>
  <c r="K48" i="2"/>
  <c r="B48" i="2"/>
  <c r="K47" i="2"/>
  <c r="B47" i="2"/>
  <c r="K46" i="2"/>
  <c r="B46" i="2"/>
  <c r="K45" i="2"/>
  <c r="B45" i="2"/>
  <c r="K44" i="2"/>
  <c r="B44" i="2"/>
  <c r="K43" i="2"/>
  <c r="B43" i="2"/>
  <c r="K42" i="2"/>
  <c r="B42" i="2"/>
  <c r="K41" i="2"/>
  <c r="B41" i="2"/>
  <c r="K40" i="2"/>
  <c r="B40" i="2"/>
  <c r="K39" i="2"/>
  <c r="B39" i="2"/>
  <c r="K38" i="2"/>
  <c r="B38" i="2"/>
  <c r="K37" i="2"/>
  <c r="B37" i="2"/>
  <c r="K36" i="2"/>
  <c r="B35" i="2"/>
  <c r="K34" i="2"/>
  <c r="B34" i="2"/>
  <c r="K33" i="2"/>
  <c r="B33" i="2"/>
  <c r="K32" i="2"/>
  <c r="B32" i="2"/>
  <c r="K31" i="2"/>
  <c r="B31" i="2"/>
  <c r="K30" i="2"/>
  <c r="B30" i="2"/>
  <c r="K29" i="2"/>
  <c r="B29" i="2"/>
  <c r="K28" i="2"/>
  <c r="B28" i="2"/>
  <c r="K27" i="2"/>
  <c r="B27" i="2"/>
  <c r="K26" i="2"/>
  <c r="K9" i="2" s="1"/>
  <c r="B26" i="2"/>
  <c r="K25" i="2"/>
  <c r="B25" i="2"/>
  <c r="B24" i="2"/>
  <c r="K23" i="2"/>
  <c r="B23" i="2"/>
  <c r="K22" i="2"/>
  <c r="B22" i="2"/>
  <c r="B21" i="2"/>
  <c r="B20" i="2"/>
  <c r="K19" i="2"/>
  <c r="B19" i="2"/>
  <c r="K18" i="2"/>
  <c r="B18" i="2"/>
  <c r="K17" i="2"/>
  <c r="B17" i="2"/>
  <c r="K16" i="2"/>
  <c r="B16" i="2"/>
  <c r="K15" i="2"/>
  <c r="B15" i="2"/>
  <c r="K14" i="2"/>
  <c r="K385" i="2" s="1"/>
  <c r="B14" i="2"/>
  <c r="B13" i="2"/>
  <c r="A12" i="2"/>
  <c r="G8" i="2"/>
  <c r="D8" i="2"/>
  <c r="A6" i="2"/>
  <c r="K447" i="1"/>
  <c r="K446" i="1"/>
  <c r="K445" i="1"/>
  <c r="K444" i="1"/>
  <c r="K443" i="1"/>
  <c r="K442" i="1"/>
  <c r="K427" i="1"/>
  <c r="K426" i="1"/>
  <c r="B423" i="1"/>
  <c r="K422" i="1"/>
  <c r="K421" i="1"/>
  <c r="B419" i="1"/>
  <c r="A418" i="1"/>
  <c r="K413" i="1"/>
  <c r="K412" i="1"/>
  <c r="K411" i="1"/>
  <c r="K410" i="1"/>
  <c r="K409" i="1"/>
  <c r="B407" i="1"/>
  <c r="A406" i="1"/>
  <c r="K405" i="1"/>
  <c r="B405" i="1"/>
  <c r="B404" i="1"/>
  <c r="B403" i="1"/>
  <c r="B402" i="1"/>
  <c r="B401" i="1"/>
  <c r="B398" i="1"/>
  <c r="K397" i="1"/>
  <c r="K392" i="1"/>
  <c r="B392" i="1"/>
  <c r="B391" i="1"/>
  <c r="K386" i="1"/>
  <c r="B385" i="1"/>
  <c r="K383" i="1"/>
  <c r="B382" i="1"/>
  <c r="B381" i="1"/>
  <c r="B379" i="1"/>
  <c r="K378" i="1"/>
  <c r="B378" i="1"/>
  <c r="K377" i="1"/>
  <c r="B377" i="1"/>
  <c r="B375" i="1"/>
  <c r="K374" i="1"/>
  <c r="B370" i="1"/>
  <c r="K369" i="1"/>
  <c r="K367" i="1"/>
  <c r="B365" i="1"/>
  <c r="K364" i="1"/>
  <c r="B360" i="1"/>
  <c r="B357" i="1"/>
  <c r="B355" i="1"/>
  <c r="B354" i="1"/>
  <c r="B353" i="1"/>
  <c r="B352" i="1"/>
  <c r="K351" i="1"/>
  <c r="K347" i="1"/>
  <c r="B344" i="1"/>
  <c r="B342" i="1"/>
  <c r="A341" i="1"/>
  <c r="A340" i="1"/>
  <c r="B339" i="1"/>
  <c r="B338" i="1"/>
  <c r="B337" i="1"/>
  <c r="B336" i="1"/>
  <c r="B335" i="1"/>
  <c r="K333" i="1"/>
  <c r="K330" i="1"/>
  <c r="K326" i="1"/>
  <c r="K322" i="1"/>
  <c r="K321" i="1"/>
  <c r="K320" i="1"/>
  <c r="K315" i="1"/>
  <c r="K314" i="1"/>
  <c r="K313" i="1"/>
  <c r="B308" i="1"/>
  <c r="B306" i="1"/>
  <c r="K303" i="1"/>
  <c r="K302" i="1"/>
  <c r="K301" i="1"/>
  <c r="B300" i="1"/>
  <c r="B299" i="1"/>
  <c r="B298" i="1"/>
  <c r="K295" i="1"/>
  <c r="K293" i="1"/>
  <c r="K292" i="1"/>
  <c r="B291" i="1"/>
  <c r="K290" i="1"/>
  <c r="B282" i="1"/>
  <c r="K281" i="1"/>
  <c r="K280" i="1"/>
  <c r="B278" i="1"/>
  <c r="K277" i="1"/>
  <c r="K276" i="1"/>
  <c r="B274" i="1"/>
  <c r="B273" i="1"/>
  <c r="B272" i="1"/>
  <c r="K270" i="1"/>
  <c r="K267" i="1"/>
  <c r="K266" i="1"/>
  <c r="B265" i="1"/>
  <c r="K264" i="1"/>
  <c r="B264" i="1"/>
  <c r="B262" i="1"/>
  <c r="B261" i="1"/>
  <c r="B258" i="1"/>
  <c r="B256" i="1"/>
  <c r="A255" i="1"/>
  <c r="B250" i="1"/>
  <c r="B247" i="1"/>
  <c r="B243" i="1"/>
  <c r="K229" i="1"/>
  <c r="B227" i="1"/>
  <c r="B224" i="1"/>
  <c r="B223" i="1"/>
  <c r="B222" i="1"/>
  <c r="B220" i="1"/>
  <c r="B219" i="1"/>
  <c r="A218" i="1"/>
  <c r="K217" i="1"/>
  <c r="K216" i="1"/>
  <c r="K213" i="1"/>
  <c r="K212" i="1"/>
  <c r="B212" i="1"/>
  <c r="B211" i="1"/>
  <c r="B210" i="1"/>
  <c r="K209" i="1"/>
  <c r="B208" i="1"/>
  <c r="K207" i="1"/>
  <c r="B207" i="1"/>
  <c r="B205" i="1"/>
  <c r="B204" i="1"/>
  <c r="A203" i="1"/>
  <c r="K194" i="1"/>
  <c r="K193" i="1"/>
  <c r="K192" i="1"/>
  <c r="K191" i="1"/>
  <c r="K190" i="1"/>
  <c r="K188" i="1"/>
  <c r="K186" i="1"/>
  <c r="K185" i="1"/>
  <c r="B183" i="1"/>
  <c r="K180" i="1"/>
  <c r="K179" i="1"/>
  <c r="K176" i="1"/>
  <c r="K175" i="1"/>
  <c r="K174" i="1"/>
  <c r="B174" i="1"/>
  <c r="K169" i="1"/>
  <c r="K167" i="1"/>
  <c r="K166" i="1"/>
  <c r="K165" i="1"/>
  <c r="K164" i="1"/>
  <c r="K160" i="1"/>
  <c r="K159" i="1"/>
  <c r="K158" i="1"/>
  <c r="K157" i="1"/>
  <c r="K156" i="1"/>
  <c r="K155" i="1"/>
  <c r="K149" i="1"/>
  <c r="K148" i="1"/>
  <c r="K147" i="1"/>
  <c r="K146" i="1"/>
  <c r="K145" i="1"/>
  <c r="K144" i="1"/>
  <c r="K143" i="1"/>
  <c r="K142" i="1"/>
  <c r="K141" i="1"/>
  <c r="K138" i="1"/>
  <c r="K137" i="1"/>
  <c r="K135" i="1"/>
  <c r="K134" i="1"/>
  <c r="K133" i="1"/>
  <c r="K132" i="1"/>
  <c r="K131" i="1"/>
  <c r="K130" i="1"/>
  <c r="K128" i="1"/>
  <c r="K127" i="1"/>
  <c r="K124" i="1"/>
  <c r="K121" i="1"/>
  <c r="K120" i="1"/>
  <c r="K119" i="1"/>
  <c r="K117" i="1"/>
  <c r="K116" i="1"/>
  <c r="K115" i="1"/>
  <c r="K114" i="1"/>
  <c r="K110" i="1"/>
  <c r="K109" i="1"/>
  <c r="K108" i="1"/>
  <c r="K107" i="1"/>
  <c r="K103" i="1"/>
  <c r="K102" i="1"/>
  <c r="K100" i="1"/>
  <c r="K97" i="1"/>
  <c r="K95" i="1"/>
  <c r="K94" i="1"/>
  <c r="K93" i="1"/>
  <c r="K91" i="1"/>
  <c r="K90" i="1"/>
  <c r="K88" i="1"/>
  <c r="K87" i="1"/>
  <c r="K85" i="1"/>
  <c r="K84" i="1"/>
  <c r="K80" i="1"/>
  <c r="K78" i="1"/>
  <c r="K77" i="1"/>
  <c r="K76" i="1"/>
  <c r="K74" i="1"/>
  <c r="K73" i="1"/>
  <c r="K72" i="1"/>
  <c r="K70" i="1"/>
  <c r="K69" i="1"/>
  <c r="K68" i="1"/>
  <c r="K66" i="1"/>
  <c r="K65" i="1"/>
  <c r="K64" i="1"/>
  <c r="K63" i="1"/>
  <c r="K62" i="1"/>
  <c r="K61" i="1"/>
  <c r="K60" i="1"/>
  <c r="K59" i="1"/>
  <c r="K58" i="1"/>
  <c r="K56" i="1"/>
  <c r="K55" i="1"/>
  <c r="K54" i="1"/>
  <c r="K52" i="1"/>
  <c r="K51" i="1"/>
  <c r="K50" i="1"/>
  <c r="K49" i="1"/>
  <c r="K48" i="1"/>
  <c r="K47" i="1"/>
  <c r="K46" i="1"/>
  <c r="K45" i="1"/>
  <c r="K44" i="1"/>
  <c r="K42" i="1"/>
  <c r="K41" i="1"/>
  <c r="K40" i="1"/>
  <c r="K36" i="1"/>
  <c r="K35" i="1"/>
  <c r="K34" i="1"/>
  <c r="K11" i="1" s="1"/>
  <c r="K32" i="1"/>
  <c r="K30" i="1"/>
  <c r="K28" i="1"/>
  <c r="K27" i="1"/>
  <c r="K26" i="1"/>
  <c r="K24" i="1"/>
  <c r="K21" i="1"/>
  <c r="B20" i="1"/>
  <c r="K19" i="1"/>
  <c r="K18" i="1"/>
  <c r="K17" i="1"/>
  <c r="K16" i="1"/>
  <c r="K15" i="1"/>
  <c r="K14" i="1"/>
  <c r="D10" i="1"/>
  <c r="A6" i="1"/>
</calcChain>
</file>

<file path=xl/sharedStrings.xml><?xml version="1.0" encoding="utf-8"?>
<sst xmlns="http://schemas.openxmlformats.org/spreadsheetml/2006/main" count="4325" uniqueCount="765">
  <si>
    <t>ПРАЙС-ЛИСТ</t>
  </si>
  <si>
    <t>ООО "Торговый Дом АМАРЕ"</t>
  </si>
  <si>
    <t>Адрес склада: Московская область, Наро-Фоминский район,</t>
  </si>
  <si>
    <t>г. Апрелевка, ул. Апрелевская, 79А</t>
  </si>
  <si>
    <t>ПН-ПТ  08:00 до 18:00</t>
  </si>
  <si>
    <t>www.amare-moscow.ru</t>
  </si>
  <si>
    <t>собственное производство ООО "Креветка"</t>
  </si>
  <si>
    <t>www.kreveton.ru</t>
  </si>
  <si>
    <t>Заказ от 20 000 руб. (бесплатная доставка по Москве)</t>
  </si>
  <si>
    <t>17 неделя</t>
  </si>
  <si>
    <t>цена</t>
  </si>
  <si>
    <t>Заказ клиента</t>
  </si>
  <si>
    <t>Сумма заказа</t>
  </si>
  <si>
    <t>Собственное производство</t>
  </si>
  <si>
    <t>Продукция НЕРЫБА</t>
  </si>
  <si>
    <t xml:space="preserve">Пельмени "Не рыба"  со вкусом лосося с/м     </t>
  </si>
  <si>
    <t>0,4кг*8шт</t>
  </si>
  <si>
    <t>НОВИНКА!!!</t>
  </si>
  <si>
    <t>10 мес</t>
  </si>
  <si>
    <t>Don Kreveton Россия</t>
  </si>
  <si>
    <t>шт</t>
  </si>
  <si>
    <t>3 кг</t>
  </si>
  <si>
    <t>кг</t>
  </si>
  <si>
    <t xml:space="preserve">Котлеты "Не рыба"  со вкусом краба с/м  </t>
  </si>
  <si>
    <t>0,2кг*8шт</t>
  </si>
  <si>
    <t xml:space="preserve">Котлеты "Не рыба"  со вкусом трески с/м  </t>
  </si>
  <si>
    <t>4 кг</t>
  </si>
  <si>
    <t>4кг</t>
  </si>
  <si>
    <t>Фасовка</t>
  </si>
  <si>
    <t>Комментарии</t>
  </si>
  <si>
    <t>Срок хранения</t>
  </si>
  <si>
    <t>Производитель</t>
  </si>
  <si>
    <t>Еденица измерения</t>
  </si>
  <si>
    <t>Цена за шт/кг</t>
  </si>
  <si>
    <t>Кол-во шт/кг</t>
  </si>
  <si>
    <t>Сумма</t>
  </si>
  <si>
    <t>Котлеты из морской капусты со шпинатом</t>
  </si>
  <si>
    <t xml:space="preserve"> 0,3кг*6 шт</t>
  </si>
  <si>
    <t>вегетар. блюдо</t>
  </si>
  <si>
    <t>12 мес</t>
  </si>
  <si>
    <t xml:space="preserve">Кулинария рыбная </t>
  </si>
  <si>
    <t>Палочки рыбные и из морепродуктов  в панировке</t>
  </si>
  <si>
    <t>Палочки из филе минтая в панировке</t>
  </si>
  <si>
    <t>0,4кг*10 шт</t>
  </si>
  <si>
    <t xml:space="preserve">Креветка ваннамей в панировке </t>
  </si>
  <si>
    <t>0,3кг*10 шт</t>
  </si>
  <si>
    <t>Палочки из кальмара в панировке</t>
  </si>
  <si>
    <t>0,4кг*10шт</t>
  </si>
  <si>
    <t xml:space="preserve">Палочки пикши в панировке  </t>
  </si>
  <si>
    <t>Медальоны и бургеры</t>
  </si>
  <si>
    <t>Медальоны кета, треска</t>
  </si>
  <si>
    <t>0,18кг*6шт</t>
  </si>
  <si>
    <t>скин-пэк</t>
  </si>
  <si>
    <t>Медальоны креветка, горбуша</t>
  </si>
  <si>
    <t xml:space="preserve">скин-пэк
</t>
  </si>
  <si>
    <t>Медальоны семга, брокколи</t>
  </si>
  <si>
    <t>Медальоны тунец</t>
  </si>
  <si>
    <t>Медальоны тунец, нерка, брокколи</t>
  </si>
  <si>
    <t>АКЦИЯ!!!!</t>
  </si>
  <si>
    <t>Медальоны тунец, треска, брокколи</t>
  </si>
  <si>
    <t>Медальоны рыбные из хека перуанского</t>
  </si>
  <si>
    <t>5 кг</t>
  </si>
  <si>
    <t>коробка</t>
  </si>
  <si>
    <t>Медальоны из горбуши</t>
  </si>
  <si>
    <t>0,36кг*10шт</t>
  </si>
  <si>
    <t>в/у</t>
  </si>
  <si>
    <t>Медальоны из горбуши с брокколи</t>
  </si>
  <si>
    <t>Пельмени рыбные с/м</t>
  </si>
  <si>
    <t>Пельмени с горбушей</t>
  </si>
  <si>
    <t>0,4кг*12шт</t>
  </si>
  <si>
    <t>натур. состав</t>
  </si>
  <si>
    <t>6 мес</t>
  </si>
  <si>
    <t>Пельмени с креветкой</t>
  </si>
  <si>
    <t>Пельмени с семгой</t>
  </si>
  <si>
    <t>ожидаются225</t>
  </si>
  <si>
    <t xml:space="preserve">Пельмени с судаком </t>
  </si>
  <si>
    <t>ожидаются155</t>
  </si>
  <si>
    <t>Пельмени с треской и кальмаром</t>
  </si>
  <si>
    <t xml:space="preserve">Пельмени с треской и шпинатом </t>
  </si>
  <si>
    <t xml:space="preserve">Пельмени с тунцом желтоперым </t>
  </si>
  <si>
    <t xml:space="preserve">Пельмени со щукой </t>
  </si>
  <si>
    <t>Цена за 1 кг</t>
  </si>
  <si>
    <t xml:space="preserve">Пельмени с треской и кальмаром </t>
  </si>
  <si>
    <t>Пельмени с треской и шпинатом</t>
  </si>
  <si>
    <t>Котлеты рыбные с/м</t>
  </si>
  <si>
    <t>Котлеты из горбуши "Рыбки"</t>
  </si>
  <si>
    <t>0,3кг*16 шт</t>
  </si>
  <si>
    <t>НОВИНКА!!! на подложке</t>
  </si>
  <si>
    <t>Котлеты из кальмара в панировке</t>
  </si>
  <si>
    <t xml:space="preserve"> 0,3кг*16 шт</t>
  </si>
  <si>
    <t>дикая рыба</t>
  </si>
  <si>
    <t>Котлеты из лосося в панировке</t>
  </si>
  <si>
    <t>Котлеты из судака в панировке</t>
  </si>
  <si>
    <t>ожидаются110</t>
  </si>
  <si>
    <t>Котлеты из хека в панировке</t>
  </si>
  <si>
    <t xml:space="preserve">Котлеты рыбные из трески в панировке </t>
  </si>
  <si>
    <t>Котлеты из трески и морской капусты в панировке</t>
  </si>
  <si>
    <t>Котлеты из трески с палтусом в панировке</t>
  </si>
  <si>
    <t>Котлеты из трески с креветкой в панировке</t>
  </si>
  <si>
    <t xml:space="preserve">Котлеты из трески со шпинатом в панировке </t>
  </si>
  <si>
    <t>Котлеты из трески с грибами</t>
  </si>
  <si>
    <t xml:space="preserve">Котлеты из тунца в панировке </t>
  </si>
  <si>
    <t xml:space="preserve">Котлеты из тунца со шпинатом </t>
  </si>
  <si>
    <t>0,3кг*16шт</t>
  </si>
  <si>
    <t xml:space="preserve">Котлеты из щуки в панировке </t>
  </si>
  <si>
    <t>Котлеты из трески с кальмаром в панировке</t>
  </si>
  <si>
    <t xml:space="preserve">Котлеты из семги, горбуши  и брокколи в панировке </t>
  </si>
  <si>
    <t>рубленная рыба</t>
  </si>
  <si>
    <t>Котлеты из палтуса с капустой в панировке</t>
  </si>
  <si>
    <t>0,3*16шт</t>
  </si>
  <si>
    <t>на подложке</t>
  </si>
  <si>
    <t>Котлеты рыбные "Народные"</t>
  </si>
  <si>
    <t>Котлеты из палтуса с капустой</t>
  </si>
  <si>
    <t>Котлеты из щуки в панировке</t>
  </si>
  <si>
    <t>Котлеты лососевые в панировке</t>
  </si>
  <si>
    <t xml:space="preserve">Котлеты тресковые в панировке </t>
  </si>
  <si>
    <t>10 кг</t>
  </si>
  <si>
    <t>Зразы</t>
  </si>
  <si>
    <t xml:space="preserve">Зразы из окуня с грибами и сыром в панировке  с/м   </t>
  </si>
  <si>
    <t>0,25кг*16шт</t>
  </si>
  <si>
    <t>Для гриля и запекания</t>
  </si>
  <si>
    <t xml:space="preserve">Окунь морской пбг в горчичном маринаде с/м   в/у  </t>
  </si>
  <si>
    <t>~0.4кг*10шт</t>
  </si>
  <si>
    <t xml:space="preserve">Окунь морской пбг в томатном маринаде с/м   в/у  </t>
  </si>
  <si>
    <t xml:space="preserve">кг </t>
  </si>
  <si>
    <r>
      <rPr>
        <u/>
        <sz val="12"/>
        <color rgb="FF000000"/>
        <rFont val="Roboto"/>
      </rPr>
      <t>Форель</t>
    </r>
    <r>
      <rPr>
        <u/>
        <sz val="12"/>
        <color rgb="FF1155CC"/>
        <rFont val="Roboto"/>
      </rPr>
      <t xml:space="preserve"> стейк с лимоном и розмарином с/м в/у</t>
    </r>
  </si>
  <si>
    <t>~0,6кг*7шт</t>
  </si>
  <si>
    <t xml:space="preserve">Дорада ПСГ  в оливковом масле с итальянскими травами с/м   в/у  </t>
  </si>
  <si>
    <t>~0,650кг*8шт</t>
  </si>
  <si>
    <t xml:space="preserve">Сибас ПСГ  в оливковом масле с итальянскими травами с/м   в/у </t>
  </si>
  <si>
    <t>Форель  радужная  ПСГ  в оливковом масле с итальянскими травами</t>
  </si>
  <si>
    <t>Треска в оливковом масле с итальянскими травами с/м в/у</t>
  </si>
  <si>
    <t>~1 кг</t>
  </si>
  <si>
    <t>Камбала в оливковом масле с итальянскими травами с/м в/у</t>
  </si>
  <si>
    <t>0.3-0.5</t>
  </si>
  <si>
    <t xml:space="preserve">Креветки очищенные  в маринаде ву </t>
  </si>
  <si>
    <t>500г</t>
  </si>
  <si>
    <t xml:space="preserve">Медальоны рыбные с овощами  с/м   в/у  </t>
  </si>
  <si>
    <t>0,7кг*10шт</t>
  </si>
  <si>
    <t xml:space="preserve">Медальоны тунец, нерка, брокколи  с бобами эдамаме и шампиньонами с/м    </t>
  </si>
  <si>
    <t>0,170кг*12шт</t>
  </si>
  <si>
    <t xml:space="preserve">Нерка филе-бабочка с/м </t>
  </si>
  <si>
    <t>0,1кг*12шт</t>
  </si>
  <si>
    <t>ожидается</t>
  </si>
  <si>
    <t>Нерка филе с овощами с/м</t>
  </si>
  <si>
    <t>Креветки аргентинские в оливковом масле с итальянскими травами</t>
  </si>
  <si>
    <t>0,3кг*6шт</t>
  </si>
  <si>
    <t>Шашлык из семги с шампиньонами с/м в/у</t>
  </si>
  <si>
    <t>~0,3 кг*8 шт</t>
  </si>
  <si>
    <t>Шашлык из гребешка и креветки  см ву</t>
  </si>
  <si>
    <t>~0.17кг*10шт</t>
  </si>
  <si>
    <t>Шашлык из гребешка и беконом  см ву</t>
  </si>
  <si>
    <t>~0.2кг*10шт</t>
  </si>
  <si>
    <t xml:space="preserve">Шашлык из креветок бг см </t>
  </si>
  <si>
    <t xml:space="preserve">Шашлык из креветки в беконе см </t>
  </si>
  <si>
    <t>Шашлык из очищенных креветок см ву</t>
  </si>
  <si>
    <t>Шашлык из морепродуктов  см ву</t>
  </si>
  <si>
    <t>Шашлык из семги и тунца  см ву</t>
  </si>
  <si>
    <t>Шашлык из семги и гребешка  см ву</t>
  </si>
  <si>
    <t>Шашлык из семги см ву</t>
  </si>
  <si>
    <t>Шашлык из семги  и очищенной креветки см ву</t>
  </si>
  <si>
    <t>Шашлык из тунца и креветки см ву</t>
  </si>
  <si>
    <t>Шашлык из тунца и гребешка см ву</t>
  </si>
  <si>
    <t xml:space="preserve">Шашлык из кальмара с/м в/у </t>
  </si>
  <si>
    <t>~0,45кг*10шт</t>
  </si>
  <si>
    <t>пакет для запекания</t>
  </si>
  <si>
    <t xml:space="preserve">Кальмар фаршированный тунцом с/м в/у </t>
  </si>
  <si>
    <t>~0,6кг*10шт</t>
  </si>
  <si>
    <t xml:space="preserve">Кальмар фаршированный сыром и шпинатом с/м в/у </t>
  </si>
  <si>
    <t>13 мес</t>
  </si>
  <si>
    <t>Колбаски из тунца с грибами</t>
  </si>
  <si>
    <t>~0,4 кг*12шт</t>
  </si>
  <si>
    <t>в коробочках</t>
  </si>
  <si>
    <t>Колбаски из тунца, креветки с сыром</t>
  </si>
  <si>
    <t>~0,35кг*12шт</t>
  </si>
  <si>
    <t xml:space="preserve">Колбаски из трески с семгой </t>
  </si>
  <si>
    <t>Рулет из форели чилийской с сыром</t>
  </si>
  <si>
    <t>~0,6кг*12шт</t>
  </si>
  <si>
    <t>в коробочке и в пакете для запекания</t>
  </si>
  <si>
    <t>Рулет из горбуши с сыром и шпинатом</t>
  </si>
  <si>
    <t>Рулет из горбуши с зубаткой и сыром</t>
  </si>
  <si>
    <t>~0,4кг*10шт</t>
  </si>
  <si>
    <t>Рулет из палтуса синекорого с тунцом и сыром</t>
  </si>
  <si>
    <t>~0.6кг*12шт</t>
  </si>
  <si>
    <t>Рулет из нерки с палтусом синекорым и сыром</t>
  </si>
  <si>
    <t>~0.6кг*10шт</t>
  </si>
  <si>
    <t>Рулет из форели с тунцом, бобами эдамаме и сыром</t>
  </si>
  <si>
    <t>Рулет из тунца со спаржей и сыром</t>
  </si>
  <si>
    <t>~0.5кг*10шт</t>
  </si>
  <si>
    <t xml:space="preserve">Рулет из форели  с тунцом, спаржей и сыром с/м   в/у </t>
  </si>
  <si>
    <t>~0.5 кг*12шт</t>
  </si>
  <si>
    <t>Роллы из филе семги и  филе палтуса с/м</t>
  </si>
  <si>
    <t>0,15кг*6шт</t>
  </si>
  <si>
    <t>Японские салаты</t>
  </si>
  <si>
    <t>Салат хиджики с бобами см в/у</t>
  </si>
  <si>
    <t>0,2кг*10шт</t>
  </si>
  <si>
    <r>
      <rPr>
        <u/>
        <sz val="12"/>
        <color rgb="FF1155CC"/>
        <rFont val="Roboto"/>
      </rPr>
      <t>Салат из грибов шиитаке и ростков папоротника</t>
    </r>
    <r>
      <rPr>
        <u/>
        <sz val="12"/>
        <color rgb="FF000000"/>
        <rFont val="Roboto"/>
      </rPr>
      <t xml:space="preserve"> см в/у</t>
    </r>
  </si>
  <si>
    <t>Салат из медузы см в/у</t>
  </si>
  <si>
    <t>Салат из осьминогов</t>
  </si>
  <si>
    <t>Салат из молодых осьминогов</t>
  </si>
  <si>
    <t xml:space="preserve">Салат из кальмара </t>
  </si>
  <si>
    <t>Пресервы и готовые продукты</t>
  </si>
  <si>
    <t xml:space="preserve">Риет из горбуши с миндалем       </t>
  </si>
  <si>
    <t>0,1кг*6шт</t>
  </si>
  <si>
    <t>под заказ</t>
  </si>
  <si>
    <t>30 сут</t>
  </si>
  <si>
    <t xml:space="preserve">Форшмак из сельди       </t>
  </si>
  <si>
    <t xml:space="preserve">0,180кг*6шт </t>
  </si>
  <si>
    <t>7 сут</t>
  </si>
  <si>
    <t>Фасованный товар для магазинов</t>
  </si>
  <si>
    <t xml:space="preserve">морепродукты, рыба, филе </t>
  </si>
  <si>
    <t>Самоса с/м инд зам Don Kreveton 0,015кг*60шт ,</t>
  </si>
  <si>
    <t>0,9 кг*10 шт</t>
  </si>
  <si>
    <t>24 мес</t>
  </si>
  <si>
    <t>Don Kreveton Китай</t>
  </si>
  <si>
    <t xml:space="preserve">Гребешок на раковине с икрой </t>
  </si>
  <si>
    <t>1 кг</t>
  </si>
  <si>
    <t>Перу</t>
  </si>
  <si>
    <t>Гребешок морской филе с/м 100 +</t>
  </si>
  <si>
    <t xml:space="preserve">0,3кг*6 шт </t>
  </si>
  <si>
    <t>7% глазурь</t>
  </si>
  <si>
    <t xml:space="preserve">Креветки  очищ коктейльные  инд зам  </t>
  </si>
  <si>
    <t xml:space="preserve">0,4кг*6 шт </t>
  </si>
  <si>
    <t>Креветки аргентинские с/г с/м инд зам</t>
  </si>
  <si>
    <t>7 % глазурь</t>
  </si>
  <si>
    <t xml:space="preserve">Креветки аргентинские б/г с/м  инд зам   </t>
  </si>
  <si>
    <t xml:space="preserve">Креветки аргентинские очищ с/м  инд зам  </t>
  </si>
  <si>
    <t xml:space="preserve">Креветки королевские б/г с/м  инд зам  </t>
  </si>
  <si>
    <t xml:space="preserve">Креветки королевские очищ с хв с/м  инд зам  </t>
  </si>
  <si>
    <t>Креветки королевские с/г в/м инд зам</t>
  </si>
  <si>
    <t xml:space="preserve">7% глазурь </t>
  </si>
  <si>
    <t xml:space="preserve">Креветки тигр б/г с/м  инд зам   </t>
  </si>
  <si>
    <t xml:space="preserve">Креветки северные н/р в/м 90+     </t>
  </si>
  <si>
    <t xml:space="preserve">Креветки северные н/р в/м 150+   </t>
  </si>
  <si>
    <t xml:space="preserve">Кальмар командорский тушка б/к с/м </t>
  </si>
  <si>
    <t>1 кг*8шт</t>
  </si>
  <si>
    <t xml:space="preserve">Кальмар командорский тушка б/к с/м инд зам в/у </t>
  </si>
  <si>
    <t>Премиум</t>
  </si>
  <si>
    <t>9 мес</t>
  </si>
  <si>
    <t xml:space="preserve">Кальмар филе  полоски б/к см </t>
  </si>
  <si>
    <t xml:space="preserve">Каракатица целая  очищ с/м   </t>
  </si>
  <si>
    <t>8% глазурь</t>
  </si>
  <si>
    <t xml:space="preserve">Клемы Вонголе в/м 41/60 шт в кг  </t>
  </si>
  <si>
    <t>0,5кг*20 шт</t>
  </si>
  <si>
    <t>Китай</t>
  </si>
  <si>
    <t>Мясо мидий  в/м   с/м</t>
  </si>
  <si>
    <t xml:space="preserve">Мидии на створке в/м </t>
  </si>
  <si>
    <t>0,4кг*6шт</t>
  </si>
  <si>
    <t xml:space="preserve">Осьминоги молодые целые очищ с/м </t>
  </si>
  <si>
    <t xml:space="preserve">Осьминог щупальца   с/м   в/у </t>
  </si>
  <si>
    <t>~0,2кг*6шт</t>
  </si>
  <si>
    <t xml:space="preserve">Осьминог кусочки в/м </t>
  </si>
  <si>
    <t>0,3 кг*6шт</t>
  </si>
  <si>
    <t>Осьминог целый в/м</t>
  </si>
  <si>
    <t>~0.35*7шт</t>
  </si>
  <si>
    <t xml:space="preserve">Барабулька  с/м   в/у  </t>
  </si>
  <si>
    <t>Дорада потрош. б/ч в/у</t>
  </si>
  <si>
    <t>~0.8 *8шт</t>
  </si>
  <si>
    <t xml:space="preserve">Горбуша филе спинки н/к с/м   в/у </t>
  </si>
  <si>
    <t>~0,2кг*20шт</t>
  </si>
  <si>
    <t xml:space="preserve">Горбуша филе спинки б/к с/м   в/у </t>
  </si>
  <si>
    <t>Камбала ПБГ с/м ву</t>
  </si>
  <si>
    <t>~0.7кг*8шт</t>
  </si>
  <si>
    <t>Лосось филе- пласт н/к</t>
  </si>
  <si>
    <t xml:space="preserve">Лосось филе  кусок н/к с/м в/у  </t>
  </si>
  <si>
    <t>~0,5кг*6 шт</t>
  </si>
  <si>
    <t xml:space="preserve">Лосось атлантический (семга) филе-кусок б/к порц </t>
  </si>
  <si>
    <t>~0.35 кг*10шт</t>
  </si>
  <si>
    <t xml:space="preserve">Минтай б/г с/м   в/у  </t>
  </si>
  <si>
    <t>~ 0,7кг*10шт</t>
  </si>
  <si>
    <t>порцион</t>
  </si>
  <si>
    <t xml:space="preserve">Окунь морской филе н/к с/м   в/у  </t>
  </si>
  <si>
    <t>~0.3кг*10шт</t>
  </si>
  <si>
    <t>Окунь морской ПБГ с/м в/у</t>
  </si>
  <si>
    <t>~ 0,7кг*8шт</t>
  </si>
  <si>
    <t>Омуль нр с/м в/у</t>
  </si>
  <si>
    <t>~ 0,9кг*10шт</t>
  </si>
  <si>
    <t xml:space="preserve">Палтус тушка с/м   в/у  </t>
  </si>
  <si>
    <t>~0,7 кг</t>
  </si>
  <si>
    <t xml:space="preserve">Палтус филе н/к с/м   в/у  </t>
  </si>
  <si>
    <t xml:space="preserve">Сибас потрош. б/ч ву </t>
  </si>
  <si>
    <t>~0.7*8 шт</t>
  </si>
  <si>
    <t xml:space="preserve">Судак филе н/к с/м   в/у  Don Kreveton </t>
  </si>
  <si>
    <t>Скумбрия н/р с/м в/у</t>
  </si>
  <si>
    <t>~0.65кг*6шт</t>
  </si>
  <si>
    <t xml:space="preserve">Тилапия филе б/к с/м в/у Don Kreveton </t>
  </si>
  <si>
    <t>~0,5*6шт</t>
  </si>
  <si>
    <t>Терпуг нр с/м Don Kreveton</t>
  </si>
  <si>
    <t>~0,5кг*8шт</t>
  </si>
  <si>
    <t xml:space="preserve">Тунец желтоперый филе б/к с/м   в/у </t>
  </si>
  <si>
    <t>0,35кг*7шт</t>
  </si>
  <si>
    <t>АКЦИЯ!!!!!</t>
  </si>
  <si>
    <t xml:space="preserve">Форель  радужная   с/м   в/у  </t>
  </si>
  <si>
    <t>~ 0,45*6шт</t>
  </si>
  <si>
    <t xml:space="preserve">Хек ПБГ с/м   в/у  </t>
  </si>
  <si>
    <t xml:space="preserve">Хек филе б/к с/м   в/у  </t>
  </si>
  <si>
    <t>Щука стейк северная б/ч см ву</t>
  </si>
  <si>
    <t>~0,45*10шт</t>
  </si>
  <si>
    <t>Набор для ухи Премиум с овощами</t>
  </si>
  <si>
    <t>180 сут</t>
  </si>
  <si>
    <t xml:space="preserve">Набор для ухи Премиум   </t>
  </si>
  <si>
    <t xml:space="preserve">1 кг </t>
  </si>
  <si>
    <t xml:space="preserve">Угольная см ву </t>
  </si>
  <si>
    <t xml:space="preserve"> Угольная пбг с/м 0,5-1,0 кг инд зам  S  </t>
  </si>
  <si>
    <t xml:space="preserve">20 кг </t>
  </si>
  <si>
    <t>Россия</t>
  </si>
  <si>
    <t>Готовые блюда замороженные</t>
  </si>
  <si>
    <t xml:space="preserve">Морепродукты в томатно-сливочном соусе со стручковой фасолью и спагетти </t>
  </si>
  <si>
    <t>0,26кг*12шт</t>
  </si>
  <si>
    <t>Тунец желтоперый филе-кусочки в сливочном соусе с красным рисом</t>
  </si>
  <si>
    <t xml:space="preserve">Томатный   суп с морепродуктами  </t>
  </si>
  <si>
    <t>0,25кг*12шт</t>
  </si>
  <si>
    <t xml:space="preserve">Уха рыбная сливочная с лососем атлантическим (семгой)       </t>
  </si>
  <si>
    <t xml:space="preserve">Треска атлантическая филе-кусочки в горчичном соусе с булгуром         </t>
  </si>
  <si>
    <t>0,26*12 шт</t>
  </si>
  <si>
    <t>Уха рыбная с горбушей и минтаем  с/м</t>
  </si>
  <si>
    <t>0,25кг*6шт</t>
  </si>
  <si>
    <t xml:space="preserve">Уха рыбная сливочная с горбушей   с/м  </t>
  </si>
  <si>
    <t>12-15 кг</t>
  </si>
  <si>
    <t>ольховая щепа</t>
  </si>
  <si>
    <t>Лосось филе трим С х/к см в/у ~0,3</t>
  </si>
  <si>
    <t>:Скумбрия пбг х/к</t>
  </si>
  <si>
    <t xml:space="preserve">Тунец филе кусок хк </t>
  </si>
  <si>
    <t>сухой посол</t>
  </si>
  <si>
    <t>120 сут</t>
  </si>
  <si>
    <t>520г*4шт</t>
  </si>
  <si>
    <t xml:space="preserve">Сельдь сс </t>
  </si>
  <si>
    <t>30 суток</t>
  </si>
  <si>
    <t>Угорь для суши</t>
  </si>
  <si>
    <t>~0,9кг*10шт</t>
  </si>
  <si>
    <t>40% соус</t>
  </si>
  <si>
    <t xml:space="preserve">Угорь филе жар. в/м 10-15 унц инд зам </t>
  </si>
  <si>
    <t>5кг*2шт</t>
  </si>
  <si>
    <t>техн.</t>
  </si>
  <si>
    <t xml:space="preserve">Угорь филе жар. в/м 16-20 унц инд зам  </t>
  </si>
  <si>
    <t>1,8кг*6шт</t>
  </si>
  <si>
    <t>0% глазурь</t>
  </si>
  <si>
    <t>Don Kreveton Вьетнам</t>
  </si>
  <si>
    <t xml:space="preserve">Креветки ван б/г с/м 16/20 </t>
  </si>
  <si>
    <t>1кг*10шт</t>
  </si>
  <si>
    <t>премиум</t>
  </si>
  <si>
    <t>Don Kreveton Индонезия</t>
  </si>
  <si>
    <t>Креветки ван б/г с/м 21/25</t>
  </si>
  <si>
    <t>Креветки ван б/г с/м 26/30</t>
  </si>
  <si>
    <t xml:space="preserve"> Индия</t>
  </si>
  <si>
    <t>Креветки ван б/г с/м 31/40</t>
  </si>
  <si>
    <t>25 мес</t>
  </si>
  <si>
    <t xml:space="preserve">Креветки ван с/г в/м 50/70 </t>
  </si>
  <si>
    <t xml:space="preserve">5 кг </t>
  </si>
  <si>
    <t>14% глазурь</t>
  </si>
  <si>
    <t xml:space="preserve">Креветки очищенные </t>
  </si>
  <si>
    <t>Креветки ваннамей очищ с хв 31/40 бланш</t>
  </si>
  <si>
    <t xml:space="preserve">1кг*10 шт </t>
  </si>
  <si>
    <t xml:space="preserve">0,93кг*10 шт </t>
  </si>
  <si>
    <t>Креветки ваннамей очищ с хв 41/50 бланш</t>
  </si>
  <si>
    <t>Креветки ваннамей очищ с хв 21/25 с/м</t>
  </si>
  <si>
    <t>Креветки ваннамей очищ с хв 26/30 с/м</t>
  </si>
  <si>
    <t>Креветки ваннамей очищ с хв 31/40 с/м</t>
  </si>
  <si>
    <t xml:space="preserve">Креветки ваннамей очищ 21/25 с/м </t>
  </si>
  <si>
    <t xml:space="preserve">Креветки ваннамей очищ 26/30 с/м </t>
  </si>
  <si>
    <t xml:space="preserve">Креветки ваннамей очищ 31/40 с/м </t>
  </si>
  <si>
    <t>Креветки ваннамей очищ 91/120 бланш</t>
  </si>
  <si>
    <t>Креветки ваннамей очищ 200/300 бланш</t>
  </si>
  <si>
    <t>Креветки ваннамей очищ 100/200 бланш</t>
  </si>
  <si>
    <t xml:space="preserve">Креветки тигр с/г с/м 16/20 </t>
  </si>
  <si>
    <t>Креветки тигр с/г с/м 13/15</t>
  </si>
  <si>
    <t>Креветки тигр с/г с/м 8/12</t>
  </si>
  <si>
    <t>0,86кг*10шт</t>
  </si>
  <si>
    <t>Креветки арг с/г с/м  L1  10/20</t>
  </si>
  <si>
    <t>2кг*6 шт</t>
  </si>
  <si>
    <t xml:space="preserve"> Аргентина</t>
  </si>
  <si>
    <t>Креветки арг с/г с/м  L2 21/30</t>
  </si>
  <si>
    <t>Аргентина</t>
  </si>
  <si>
    <t>Don Kreveton Аргентина</t>
  </si>
  <si>
    <t>Креветки северные</t>
  </si>
  <si>
    <t xml:space="preserve">Креветки северные нр в/м 90-120 </t>
  </si>
  <si>
    <t>Креветки северные в/м 60/80 шт в кг</t>
  </si>
  <si>
    <t>1кг*12 шт</t>
  </si>
  <si>
    <t>23 мес</t>
  </si>
  <si>
    <t>Креветки северные н/р в/м 80/100</t>
  </si>
  <si>
    <t>Гренландия</t>
  </si>
  <si>
    <t>Гребешок S</t>
  </si>
  <si>
    <t>12 кг</t>
  </si>
  <si>
    <t>сырье</t>
  </si>
  <si>
    <t>Россия, ДВ</t>
  </si>
  <si>
    <t xml:space="preserve">Гребешок филе 20/30 с/м </t>
  </si>
  <si>
    <t>Гребешок на половине раковины с икрой 20/30</t>
  </si>
  <si>
    <t>1*10шт</t>
  </si>
  <si>
    <t>11 кг</t>
  </si>
  <si>
    <t xml:space="preserve">Don Kreveton Чили </t>
  </si>
  <si>
    <t>Мидии в 1/2 раковине в/м 60/80</t>
  </si>
  <si>
    <t>0,5 кг*20 шт</t>
  </si>
  <si>
    <t>в собст. соку</t>
  </si>
  <si>
    <t xml:space="preserve">Чили </t>
  </si>
  <si>
    <t>Мидии в раковине 50/70 в/м в/у</t>
  </si>
  <si>
    <t>Мидии зеленые в 1/2 раковине 30/40 в/м с/м</t>
  </si>
  <si>
    <t>Китай Don Kreveton</t>
  </si>
  <si>
    <t>Мидии зеленые в 1/2 раковине 30/45 с/м</t>
  </si>
  <si>
    <t>Новая Зеландия</t>
  </si>
  <si>
    <t>Мясо мидий в/м 15/50 с/м</t>
  </si>
  <si>
    <t>0,2кг*20шт</t>
  </si>
  <si>
    <t>Россия Don Kreveton</t>
  </si>
  <si>
    <t>Мясо мидий 200/300 в/м</t>
  </si>
  <si>
    <t>9,2кг</t>
  </si>
  <si>
    <t>24мес</t>
  </si>
  <si>
    <t xml:space="preserve"> Чили </t>
  </si>
  <si>
    <t>10кг</t>
  </si>
  <si>
    <t>Клемы Вонголе</t>
  </si>
  <si>
    <t xml:space="preserve">Клемы Вонголе в/м 31/40 шт в кг  </t>
  </si>
  <si>
    <t xml:space="preserve">Клемы Вонголе в/м 41/50 шт в кг  </t>
  </si>
  <si>
    <t>Морской коктейль (без сурими) Премиальный 6-ть компонентов</t>
  </si>
  <si>
    <t>05кг*20 шт</t>
  </si>
  <si>
    <t>Морской коктейль Премиум с овощами</t>
  </si>
  <si>
    <t>0,5кг*20шт</t>
  </si>
  <si>
    <t>24 месяца</t>
  </si>
  <si>
    <t>Осьминог 0,5-1 кг с/м</t>
  </si>
  <si>
    <t>Индонезия</t>
  </si>
  <si>
    <t>Осьминог 1,0-2,0 кг с/м</t>
  </si>
  <si>
    <t>Осьминог 2,0-3,0 кг с/м</t>
  </si>
  <si>
    <t>Осьминог молодой 20/40 с/м</t>
  </si>
  <si>
    <t>1кг*10 шт</t>
  </si>
  <si>
    <t>Вьетнам</t>
  </si>
  <si>
    <t>Осьминог молодой 40/60 с/м</t>
  </si>
  <si>
    <t>Осьминог молодой 60/80 с/м</t>
  </si>
  <si>
    <t xml:space="preserve">Каракатицы с/м 60/80 шт в кг инд зам </t>
  </si>
  <si>
    <t xml:space="preserve">Кальмар филе бк </t>
  </si>
  <si>
    <t>1 кг*8</t>
  </si>
  <si>
    <t>Кальмар филе б/к очищ с/м блок 22,5 кг Россия,</t>
  </si>
  <si>
    <t>Кальмар командорский тушка с/м блок 7,5кг*3шт Россия,</t>
  </si>
  <si>
    <t>7,5*3</t>
  </si>
  <si>
    <t>Салаты из морепродуктов и овощи</t>
  </si>
  <si>
    <t>Чука Хотате</t>
  </si>
  <si>
    <t>18 мес</t>
  </si>
  <si>
    <t>Чука Кураге</t>
  </si>
  <si>
    <t xml:space="preserve">Салат из осьминогов </t>
  </si>
  <si>
    <t>Салат из кальмара</t>
  </si>
  <si>
    <t>Салат из водорослей Хиджики</t>
  </si>
  <si>
    <t>Салат из грибов шиитаке и ростков папоротника</t>
  </si>
  <si>
    <t>Салат из мор. водорослей Чука Time SeaFood с/м</t>
  </si>
  <si>
    <t>0,5кг*10шт</t>
  </si>
  <si>
    <t>20% соуса</t>
  </si>
  <si>
    <t>Салат из морских водорослей Чука GAISHI с/м</t>
  </si>
  <si>
    <t>без красителей</t>
  </si>
  <si>
    <t xml:space="preserve">Водоросли морские сушеные Вакаме </t>
  </si>
  <si>
    <t>0,05кг</t>
  </si>
  <si>
    <t>ТМ "Веганград" Россия</t>
  </si>
  <si>
    <t xml:space="preserve">Водоросли морские сушеные Ламинария </t>
  </si>
  <si>
    <t>0,1 кг</t>
  </si>
  <si>
    <t>Водоросли морские сушеные Ламинария хлопья</t>
  </si>
  <si>
    <t>Водоросли ламинария хлопья</t>
  </si>
  <si>
    <t>24 мес.</t>
  </si>
  <si>
    <t>0,5кг*10 шт</t>
  </si>
  <si>
    <t xml:space="preserve">Водоросли комбу ламинария </t>
  </si>
  <si>
    <t>0,2 кг*10шт</t>
  </si>
  <si>
    <t>12 мес.</t>
  </si>
  <si>
    <t>Комбу водоросли морские сушеные (Ламинария) Веганград  (Китай)</t>
  </si>
  <si>
    <t>Веганград Китай</t>
  </si>
  <si>
    <t>Ламинария для обертывания</t>
  </si>
  <si>
    <t xml:space="preserve">0,5 кг *10 шт </t>
  </si>
  <si>
    <t>Спирулина бочка порошок</t>
  </si>
  <si>
    <t>25 кг</t>
  </si>
  <si>
    <t>АКЦИЯ</t>
  </si>
  <si>
    <t>Спирулина бочка таблетки</t>
  </si>
  <si>
    <t xml:space="preserve">Морской салат (Ульва) водоросли морские Анори хлопья сушеные </t>
  </si>
  <si>
    <t>0,05кг*10шт</t>
  </si>
  <si>
    <t xml:space="preserve">Тосака водоросли морские  сушеные   </t>
  </si>
  <si>
    <t>Водоросли Порфира сушеные</t>
  </si>
  <si>
    <t>Фукус порошок</t>
  </si>
  <si>
    <t>0,1кг*10шт</t>
  </si>
  <si>
    <t xml:space="preserve">Фукус сушеный      </t>
  </si>
  <si>
    <t xml:space="preserve">Фукус сушеный дробленый     </t>
  </si>
  <si>
    <t xml:space="preserve">Спирулина порошок </t>
  </si>
  <si>
    <t>ТМ "love laminaria" Россия</t>
  </si>
  <si>
    <t>Спирулина в таблетках</t>
  </si>
  <si>
    <t xml:space="preserve">Хиджики водоросли морские сушеные </t>
  </si>
  <si>
    <t>Хлорелла в таблетках</t>
  </si>
  <si>
    <t>600 под заказ</t>
  </si>
  <si>
    <t>Хлорелла порошок</t>
  </si>
  <si>
    <t xml:space="preserve">Шиитаке грибы </t>
  </si>
  <si>
    <t>0,1 кг*10 шт</t>
  </si>
  <si>
    <t xml:space="preserve">0,5кг*20шт </t>
  </si>
  <si>
    <t xml:space="preserve">Премиум </t>
  </si>
  <si>
    <t>Тунец обрезь см в/у</t>
  </si>
  <si>
    <t>1 кг *10 шт</t>
  </si>
  <si>
    <t>Тунец жп филе саку А с/м 0,15-0,3 кг  в/у</t>
  </si>
  <si>
    <t xml:space="preserve">Тунец жп филе лоин с/м 2+ кг   </t>
  </si>
  <si>
    <t>Тунец стрипсы</t>
  </si>
  <si>
    <t>Тунец жп стейк порционный с/м 0,2+ в/у</t>
  </si>
  <si>
    <t>Тунец жп стейк порционный с/м 40гр+  в/у</t>
  </si>
  <si>
    <t>Тунец жп стейк порционный с/м 50гр+  в/у</t>
  </si>
  <si>
    <t>30кг</t>
  </si>
  <si>
    <t>Чили</t>
  </si>
  <si>
    <t>5кг</t>
  </si>
  <si>
    <t>Don Kreveton Турция</t>
  </si>
  <si>
    <t>Дорада н/р с/м 0,4-0,6 кг</t>
  </si>
  <si>
    <t xml:space="preserve">Don Kreveton Россия </t>
  </si>
  <si>
    <t>Турция и Турция</t>
  </si>
  <si>
    <t>Форель радужная ПСГ 0,25-0,30 кг</t>
  </si>
  <si>
    <t>Форель радужная ПСГ 0,300-0,350 кг</t>
  </si>
  <si>
    <t xml:space="preserve">Камбала ПБГ с/м 300-500 гр блок   </t>
  </si>
  <si>
    <t>6кг*3шт</t>
  </si>
  <si>
    <t xml:space="preserve">Омуль н/р с/м 0,8-1,1 кг </t>
  </si>
  <si>
    <t xml:space="preserve">Щука н/р с/м 1-2 кг инд зам  </t>
  </si>
  <si>
    <t>северная</t>
  </si>
  <si>
    <t>Угольная пбг с/м 0,5-1,0 кг инд зам  S  20 кг Россия</t>
  </si>
  <si>
    <t>20 кг</t>
  </si>
  <si>
    <t xml:space="preserve">Горбуша филе н/к см </t>
  </si>
  <si>
    <t xml:space="preserve">10 кг </t>
  </si>
  <si>
    <t xml:space="preserve">Горбуша филе б/к см </t>
  </si>
  <si>
    <t>~15кг</t>
  </si>
  <si>
    <t>~1,5кг - 2кг</t>
  </si>
  <si>
    <t>Минтай филе б/к порцион с/м</t>
  </si>
  <si>
    <t xml:space="preserve">Окунь филе н/к </t>
  </si>
  <si>
    <t>Палтус филе н/к с/м 400 гр+</t>
  </si>
  <si>
    <t>3*7,5кг</t>
  </si>
  <si>
    <t>блочн</t>
  </si>
  <si>
    <t xml:space="preserve"> Россия</t>
  </si>
  <si>
    <t>~0,7кг*10шт</t>
  </si>
  <si>
    <t>Треска филе бк порцин</t>
  </si>
  <si>
    <t>~0.65</t>
  </si>
  <si>
    <t>Форель филе н/к см 800+</t>
  </si>
  <si>
    <t>Треска пбг с/м Don Kreveton вес</t>
  </si>
  <si>
    <t>вес</t>
  </si>
  <si>
    <t>Стейки рыбные</t>
  </si>
  <si>
    <t>Горбуша стейк с/м в/у</t>
  </si>
  <si>
    <t xml:space="preserve">~0,7кг*8 шт </t>
  </si>
  <si>
    <t>8 мес</t>
  </si>
  <si>
    <t xml:space="preserve">Зубатка  пестрая стейк с/м в/у </t>
  </si>
  <si>
    <t>Форель стейк с/м в/у</t>
  </si>
  <si>
    <t>Кижуч стейк с/м в/у</t>
  </si>
  <si>
    <t xml:space="preserve">Палтус стейк с/м   в/у  </t>
  </si>
  <si>
    <t>~ 0,5кг*8шт</t>
  </si>
  <si>
    <t xml:space="preserve">Палтус стейк с/м   в/у   "М" </t>
  </si>
  <si>
    <t>стейки маленькие</t>
  </si>
  <si>
    <t>Треска стейк с/м  в/у  (Россия)</t>
  </si>
  <si>
    <t>~ 0,7кг*8 шт</t>
  </si>
  <si>
    <t xml:space="preserve">Щука стейк с/м в/у </t>
  </si>
  <si>
    <r>
      <rPr>
        <sz val="12"/>
        <color rgb="FF000000"/>
        <rFont val="Roboto"/>
      </rPr>
      <t>Палтус</t>
    </r>
    <r>
      <rPr>
        <u/>
        <sz val="12"/>
        <color rgb="FF000000"/>
        <rFont val="Roboto"/>
      </rPr>
      <t xml:space="preserve"> суповой набор с/м   в/у </t>
    </r>
  </si>
  <si>
    <t>~1кг*10 шт</t>
  </si>
  <si>
    <t>по наличию</t>
  </si>
  <si>
    <t>Лосось головы</t>
  </si>
  <si>
    <t>~1кг*10шт</t>
  </si>
  <si>
    <t xml:space="preserve"> ~0,5 кг </t>
  </si>
  <si>
    <t>Улитки мясо с/м</t>
  </si>
  <si>
    <t>1кг*2 шт</t>
  </si>
  <si>
    <t>под заказ от 20 кг</t>
  </si>
  <si>
    <t xml:space="preserve">Улитки в белом соусе  в/м   </t>
  </si>
  <si>
    <t>0,170кг*8шт</t>
  </si>
  <si>
    <t xml:space="preserve">Улитки в горчичном соусе "Пикантный"  в/м  </t>
  </si>
  <si>
    <t xml:space="preserve">Улитки в ореховом соусе по лимузински  в/м  </t>
  </si>
  <si>
    <t>Улитки в чесночном соусе по-бургундски  в/м</t>
  </si>
  <si>
    <t>Улитки с жареным арахисом по-сомьерски  в/м</t>
  </si>
  <si>
    <t>Улитки с хреном в соусе "Ароматный" в/м</t>
  </si>
  <si>
    <t>Улитки в грибном соусе "Конфунги" в/м</t>
  </si>
  <si>
    <t>Улитки в соусе "По бразильски" в/м</t>
  </si>
  <si>
    <t>0,170кг*10шт</t>
  </si>
  <si>
    <t>Улитки "По тайски" в соусе Том ям  в/м</t>
  </si>
  <si>
    <t>Филиппо Берио Extra Virgin масло оливковое стекло 0,5 л, 6</t>
  </si>
  <si>
    <t>0,5л*6шт</t>
  </si>
  <si>
    <t>стекло</t>
  </si>
  <si>
    <t>Италия</t>
  </si>
  <si>
    <t>Филиппо Берио Extra Virgin масло оливковое стекло 0,25 л, 12</t>
  </si>
  <si>
    <t xml:space="preserve">0,25л*12 шт </t>
  </si>
  <si>
    <t>Филиппо Берио Pure масло оливковое стекло 0,5 л, 6</t>
  </si>
  <si>
    <t xml:space="preserve">Имбирь маринованный розовый </t>
  </si>
  <si>
    <t>Антисептик и средства защиты</t>
  </si>
  <si>
    <t>Дезинфицирующее средство для обработки рук ФЛЕКСОЛЬВЕНТ</t>
  </si>
  <si>
    <t>1л</t>
  </si>
  <si>
    <t>36 мес</t>
  </si>
  <si>
    <t>л</t>
  </si>
  <si>
    <t>Маска гигиеническая</t>
  </si>
  <si>
    <t>5шт</t>
  </si>
  <si>
    <t>Овощи ,фрукты, ягоды,грибы</t>
  </si>
  <si>
    <t>Горошек зеленый с\м</t>
  </si>
  <si>
    <t>0,5 кг*10 шт</t>
  </si>
  <si>
    <t>Капуста цветная с\м</t>
  </si>
  <si>
    <t xml:space="preserve">Капуста брокколи быстрозамороженная </t>
  </si>
  <si>
    <t xml:space="preserve"> ожидается</t>
  </si>
  <si>
    <t xml:space="preserve">Кабачок кубик с\м </t>
  </si>
  <si>
    <t xml:space="preserve">Картофель кубик с\м </t>
  </si>
  <si>
    <t xml:space="preserve"> ожидается </t>
  </si>
  <si>
    <t>Спаржа резаная замороженная ТМ "Веганград" 0,5 кг*10 шт (Россия),</t>
  </si>
  <si>
    <t xml:space="preserve">Спаржа резаная замороженная </t>
  </si>
  <si>
    <t xml:space="preserve">Тыква кубик замороженная </t>
  </si>
  <si>
    <t>Фасоль стручковая зел. с/м</t>
  </si>
  <si>
    <t>Брусника быстрозамороженная</t>
  </si>
  <si>
    <t>0,35 кг*6 шт</t>
  </si>
  <si>
    <t xml:space="preserve">Клюква быстрозамороженная </t>
  </si>
  <si>
    <t xml:space="preserve">Черника быстрозамороженная </t>
  </si>
  <si>
    <t xml:space="preserve">Грибы шампиньоны резаные замороженные </t>
  </si>
  <si>
    <t>Лакомство для собак</t>
  </si>
  <si>
    <t>Сушеная кожа атлантической трески</t>
  </si>
  <si>
    <t>40гр*20шт</t>
  </si>
  <si>
    <t>ТМ "KindPet" Россия</t>
  </si>
  <si>
    <t>Сушеная кожа атлантической трески с ламинарией</t>
  </si>
  <si>
    <t>Крекеры из фарша атлантической трески с Отрубями</t>
  </si>
  <si>
    <t>Крекеры из фарша атлантической трески с Ламинарией и Отрубями</t>
  </si>
  <si>
    <t>Крекеры из фарша атлантической трески с морковью и отрубями</t>
  </si>
  <si>
    <t>Рыбка сушеная</t>
  </si>
  <si>
    <t>30гр*20шт</t>
  </si>
  <si>
    <t>НЕДЕЛЯ</t>
  </si>
  <si>
    <t>НЕ ЯВЛЯЕТСЯ ПУБЛИЧНОЙ ОФЕРТОЙ</t>
  </si>
  <si>
    <t xml:space="preserve">Котлеты рыбные из горбуши в панировке  </t>
  </si>
  <si>
    <t>Котлеты из лосося с брокколи в панировке</t>
  </si>
  <si>
    <t>0,3*18шт</t>
  </si>
  <si>
    <t xml:space="preserve">0,3кг*6шт </t>
  </si>
  <si>
    <t>7дней</t>
  </si>
  <si>
    <t>Котлеты из тунца со шпинатом</t>
  </si>
  <si>
    <t>7 дней</t>
  </si>
  <si>
    <t>0,5 кг*12 шт</t>
  </si>
  <si>
    <t>рекоменд. детям</t>
  </si>
  <si>
    <t>0,2кг*6шт</t>
  </si>
  <si>
    <t>60 сут</t>
  </si>
  <si>
    <t>Салат хиджики с бобами</t>
  </si>
  <si>
    <t xml:space="preserve">v </t>
  </si>
  <si>
    <t>Риет из трески атлантической с томатами</t>
  </si>
  <si>
    <t xml:space="preserve">Салат из  морской капусты с грибами шиитаке       </t>
  </si>
  <si>
    <t xml:space="preserve">30 сут </t>
  </si>
  <si>
    <t xml:space="preserve">Салат из  морской капусты с фукусом       </t>
  </si>
  <si>
    <t xml:space="preserve">Салат из  морской капусты с вакаме      </t>
  </si>
  <si>
    <t>Салат из морской капусты с кальмаром в сливочном соусе</t>
  </si>
  <si>
    <t>Салат из морской капусты с креветкой в томатном соусе</t>
  </si>
  <si>
    <t xml:space="preserve">Салат из морской капусты с мидиями в растительном масле </t>
  </si>
  <si>
    <t>14 сут</t>
  </si>
  <si>
    <t>Кета отварная в желе</t>
  </si>
  <si>
    <t>Нерка отварная в желе</t>
  </si>
  <si>
    <t>Судак отварная в желе</t>
  </si>
  <si>
    <t>20 сут</t>
  </si>
  <si>
    <t>0,180кг*6шт</t>
  </si>
  <si>
    <t>Кижуч филе трим С х/к с/м в/у</t>
  </si>
  <si>
    <t>~1,8 кг</t>
  </si>
  <si>
    <t>Кижуч филе-кусок трим С х/к с/м в/у</t>
  </si>
  <si>
    <t>~0,4кг</t>
  </si>
  <si>
    <t>10-12 кг</t>
  </si>
  <si>
    <t>Тунец филе х/к, с/м, в/у</t>
  </si>
  <si>
    <t>7 мес</t>
  </si>
  <si>
    <t>zubarevily80@yandex.ru</t>
  </si>
  <si>
    <t>Кижуч филе трим С с/с с/м в/у</t>
  </si>
  <si>
    <t>~19 кг</t>
  </si>
  <si>
    <t xml:space="preserve">Кижуч филе-кусок н/к с/с охл ~0,2кг*10шт  в/у </t>
  </si>
  <si>
    <t>~0,2кг*10шт</t>
  </si>
  <si>
    <t>охл под заказ</t>
  </si>
  <si>
    <t xml:space="preserve">Кижуч филе-кусок н/к с/с с/м ~0,2кг*10шт  в/у </t>
  </si>
  <si>
    <t>с/м</t>
  </si>
  <si>
    <t>90 сут</t>
  </si>
  <si>
    <t xml:space="preserve">Креветки  очищ бланш  инд зам  </t>
  </si>
  <si>
    <t xml:space="preserve">Кальмар филе б/к см  блок в/у </t>
  </si>
  <si>
    <t>~ 0,45*6шт (Россия),</t>
  </si>
  <si>
    <t xml:space="preserve">Бротола тушка с/м   в/у  </t>
  </si>
  <si>
    <t>~1,3кг*10 шт</t>
  </si>
  <si>
    <t xml:space="preserve">Горбуша ПБГ с/м   в/у </t>
  </si>
  <si>
    <t xml:space="preserve">Кета ПБГ с/м в/у </t>
  </si>
  <si>
    <t>~1,6кг*10 шт</t>
  </si>
  <si>
    <t>Кижуч филе-кусок н/к х/к см   в/у</t>
  </si>
  <si>
    <t xml:space="preserve">Корюшка н/р с/м    </t>
  </si>
  <si>
    <t xml:space="preserve">1кг*6 шт </t>
  </si>
  <si>
    <t>мелкая</t>
  </si>
  <si>
    <t>Конгрио ПБГ с/м   в/у</t>
  </si>
  <si>
    <t>~ 0,5кг*10шт</t>
  </si>
  <si>
    <t xml:space="preserve">Тилапия  филе б/к с/м   в/у  Don Kreveton </t>
  </si>
  <si>
    <t xml:space="preserve">Треска филе (спинка) б/к с/м в/у </t>
  </si>
  <si>
    <t xml:space="preserve">Треска филе б/к с/м   в/у порц. </t>
  </si>
  <si>
    <t>~0,650кг*6шт</t>
  </si>
  <si>
    <t xml:space="preserve">Треска красная ПБГ с/м   в/у  </t>
  </si>
  <si>
    <t xml:space="preserve">Треска язык с/м    </t>
  </si>
  <si>
    <t xml:space="preserve">Угольная ПБГ с/м   в/у  </t>
  </si>
  <si>
    <t xml:space="preserve">Хоки ПБГ с/м   в/у </t>
  </si>
  <si>
    <t>~1кг</t>
  </si>
  <si>
    <t>Don Kreveton Индия</t>
  </si>
  <si>
    <t>11,34кг</t>
  </si>
  <si>
    <t>нет в наличии</t>
  </si>
  <si>
    <t xml:space="preserve">Креветки северные н/р в/м 90+ </t>
  </si>
  <si>
    <t xml:space="preserve">Креветки северные н/р в/м 150+ </t>
  </si>
  <si>
    <t>Креветки ваннамей очищ 100/200</t>
  </si>
  <si>
    <t>Креветки ваннамей очищ 200/300</t>
  </si>
  <si>
    <t>Креветки очищ 100/200</t>
  </si>
  <si>
    <t>Креветки очищ 200/300</t>
  </si>
  <si>
    <t>Бангладеш</t>
  </si>
  <si>
    <t xml:space="preserve">Гребешок без икры с/м 80/100 шт в кг (M)    </t>
  </si>
  <si>
    <t>Заканчиваются</t>
  </si>
  <si>
    <t>1кг*5шт</t>
  </si>
  <si>
    <t>в соусе</t>
  </si>
  <si>
    <t>1кг*5 шт</t>
  </si>
  <si>
    <t>13,6кг</t>
  </si>
  <si>
    <t>18 кг*1шт</t>
  </si>
  <si>
    <t>с щупальцей</t>
  </si>
  <si>
    <t>12 кг*2шт</t>
  </si>
  <si>
    <t>1кг*8 шт</t>
  </si>
  <si>
    <t>в коробочке</t>
  </si>
  <si>
    <t xml:space="preserve">Каракатицы  с/м 60/80 шт в кг    </t>
  </si>
  <si>
    <t>Ика Сансай</t>
  </si>
  <si>
    <t>Чука Иидако</t>
  </si>
  <si>
    <t>Иидако Сансай</t>
  </si>
  <si>
    <t>10% соуса</t>
  </si>
  <si>
    <t>5кг*10шт</t>
  </si>
  <si>
    <t>prodlaif@gmail.com</t>
  </si>
  <si>
    <t>Спирулина бочка</t>
  </si>
  <si>
    <t>Чипсы из ламинарии с бананом 90 гр</t>
  </si>
  <si>
    <t>0,09кг*10шт</t>
  </si>
  <si>
    <t>9 мес.</t>
  </si>
  <si>
    <t>Чипсы из ламинарии с клюквой 90 гр</t>
  </si>
  <si>
    <t xml:space="preserve">Чипсы из ламинарии с луком 90 гр </t>
  </si>
  <si>
    <t>Чипсы из ламинарии с морковью 90 гр</t>
  </si>
  <si>
    <t>19 мес</t>
  </si>
  <si>
    <t>Тунец жп стейк см 0,14-0,2 в/у</t>
  </si>
  <si>
    <t>Тунец жп филе саку А с/м 0,15-0,3 кг в/у</t>
  </si>
  <si>
    <t xml:space="preserve"> Китай</t>
  </si>
  <si>
    <t>25кг</t>
  </si>
  <si>
    <t>10 кг*2шт</t>
  </si>
  <si>
    <t>10кг*2шт</t>
  </si>
  <si>
    <t>Чавыча ПБГ с/м</t>
  </si>
  <si>
    <t>11 кг*2 шт</t>
  </si>
  <si>
    <t>Форель радужная ПСГ 0,2-0,22 кг</t>
  </si>
  <si>
    <t xml:space="preserve">    </t>
  </si>
  <si>
    <t>Форель радужная ПСГ 0,22-0,24 кг</t>
  </si>
  <si>
    <t>Форель радужная ПСГ 0,28-0,30 кг</t>
  </si>
  <si>
    <t>Форель радужная ПСГ 0,320-0,340 кг</t>
  </si>
  <si>
    <t>Минтай ПБГ 30+ с/м</t>
  </si>
  <si>
    <t>17 кг</t>
  </si>
  <si>
    <t>Пикша БГ с/м  0,5-1 кг</t>
  </si>
  <si>
    <t>инд. зам</t>
  </si>
  <si>
    <t>Скумбрия н/р с/м 0,3-0,5 кг</t>
  </si>
  <si>
    <t>19кг</t>
  </si>
  <si>
    <t>Скумбрия н/р с/м 0,4-0,6 кг</t>
  </si>
  <si>
    <t>Фарерские острова</t>
  </si>
  <si>
    <t xml:space="preserve">Сельдь  с/м 400 гр +    </t>
  </si>
  <si>
    <t>9кг*2</t>
  </si>
  <si>
    <t>Угольная ПБГ 1-2 кг с/м</t>
  </si>
  <si>
    <t>14кг</t>
  </si>
  <si>
    <t xml:space="preserve"> 6 кг*4 шт</t>
  </si>
  <si>
    <t>Новый приход</t>
  </si>
  <si>
    <t>Don Kreveton Перу</t>
  </si>
  <si>
    <t xml:space="preserve">1х16 кг </t>
  </si>
  <si>
    <t xml:space="preserve">Окунь морской ПБГ с/м 0,3-0,4 кг </t>
  </si>
  <si>
    <t xml:space="preserve">Щука н/р с/м 2-4 кг инд зам  </t>
  </si>
  <si>
    <t xml:space="preserve">Кижуч филе трим С с/м   в/у  </t>
  </si>
  <si>
    <t>~10кг</t>
  </si>
  <si>
    <t>1310 ожидается</t>
  </si>
  <si>
    <t xml:space="preserve">Минтай филе с/м  блок    </t>
  </si>
  <si>
    <t>1кг*21шт</t>
  </si>
  <si>
    <t xml:space="preserve"> 3*7,5 кг</t>
  </si>
  <si>
    <t xml:space="preserve">Пикша филе-кусок б/к с/м </t>
  </si>
  <si>
    <t xml:space="preserve">Треска срезки филе б/к с/м     </t>
  </si>
  <si>
    <t xml:space="preserve"> Россия Белокаменка</t>
  </si>
  <si>
    <t>3*6,81 кг</t>
  </si>
  <si>
    <t>Треска филе спинка лойн с/м 0,16-0,2</t>
  </si>
  <si>
    <t>~ 5 кг</t>
  </si>
  <si>
    <t>Треска филе б/к порц. с/м инд. зам</t>
  </si>
  <si>
    <t xml:space="preserve">Треска филе б/к с/м в/у  </t>
  </si>
  <si>
    <t xml:space="preserve">Треска язык с/м     </t>
  </si>
  <si>
    <t>2,2 кг*9</t>
  </si>
  <si>
    <t>Don Kreveton  Перу</t>
  </si>
  <si>
    <t>7 кг*4</t>
  </si>
  <si>
    <t>Кета стейк с/м в/у</t>
  </si>
  <si>
    <t xml:space="preserve">Угольная стейк с/м   в/у </t>
  </si>
  <si>
    <t xml:space="preserve">Чавыча стейк с/м   в/у  </t>
  </si>
  <si>
    <t>Хек хубси стейк с/м   в/у  Don Kreveton ~ 0,5кг*8шт (Россия)</t>
  </si>
  <si>
    <t xml:space="preserve">Хек хубси стейк с/м   в/у </t>
  </si>
  <si>
    <t>~0,5 кг*10 шт</t>
  </si>
  <si>
    <r>
      <rPr>
        <sz val="12"/>
        <color rgb="FF000000"/>
        <rFont val="Roboto"/>
      </rPr>
      <t>Палтус</t>
    </r>
    <r>
      <rPr>
        <u/>
        <sz val="12"/>
        <color rgb="FF000000"/>
        <rFont val="Roboto"/>
      </rPr>
      <t xml:space="preserve"> хвосты с/м   в/у Премиум</t>
    </r>
  </si>
  <si>
    <t xml:space="preserve">Горбуша фарш с/м    </t>
  </si>
  <si>
    <t>21 кг</t>
  </si>
  <si>
    <t xml:space="preserve">1л*12 шт </t>
  </si>
  <si>
    <t xml:space="preserve">Имбирь маринованный белый 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</si>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</sst>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08">
    <font>
      <sz val="10"/>
      <color rgb="FF000000"/>
      <name val="Arial"/>
    </font>
    <font>
      <b/>
      <sz val="18"/>
      <name val="Roboto"/>
    </font>
    <font>
      <b/>
      <sz val="20"/>
      <name val="Roboto"/>
    </font>
    <font>
      <b/>
      <sz val="12"/>
      <name val="Roboto"/>
    </font>
    <font>
      <b/>
      <u/>
      <sz val="20"/>
      <color rgb="FF000000"/>
      <name val="Roboto"/>
    </font>
    <font>
      <b/>
      <sz val="20"/>
      <color rgb="FF000000"/>
      <name val="Roboto"/>
    </font>
    <font>
      <b/>
      <sz val="20"/>
      <color rgb="FF0000FF"/>
      <name val="Roboto"/>
    </font>
    <font>
      <b/>
      <u/>
      <sz val="20"/>
      <color rgb="FF0000FF"/>
      <name val="Roboto"/>
    </font>
    <font>
      <sz val="10"/>
      <name val="Arial"/>
    </font>
    <font>
      <b/>
      <sz val="11"/>
      <name val="Roboto"/>
    </font>
    <font>
      <b/>
      <sz val="10"/>
      <name val="Roboto"/>
    </font>
    <font>
      <b/>
      <u/>
      <sz val="12"/>
      <color rgb="FF1155CC"/>
      <name val="Roboto"/>
    </font>
    <font>
      <sz val="10"/>
      <name val="Roboto"/>
    </font>
    <font>
      <sz val="12"/>
      <color rgb="FF000000"/>
      <name val="Roboto"/>
    </font>
    <font>
      <sz val="10"/>
      <color rgb="FF000000"/>
      <name val="Roboto"/>
    </font>
    <font>
      <sz val="11"/>
      <name val="Roboto"/>
    </font>
    <font>
      <sz val="11"/>
      <color rgb="FF000000"/>
      <name val="Roboto"/>
    </font>
    <font>
      <u/>
      <sz val="12"/>
      <color rgb="FF000000"/>
      <name val="Roboto"/>
    </font>
    <font>
      <b/>
      <i/>
      <sz val="10"/>
      <name val="Roboto"/>
    </font>
    <font>
      <b/>
      <sz val="9"/>
      <name val="Roboto"/>
    </font>
    <font>
      <u/>
      <sz val="12"/>
      <color rgb="FF1155CC"/>
      <name val="Roboto"/>
    </font>
    <font>
      <u/>
      <sz val="12"/>
      <color rgb="FF1155CC"/>
      <name val="Roboto"/>
    </font>
    <font>
      <b/>
      <u/>
      <sz val="12"/>
      <color rgb="FF1155CC"/>
      <name val="Roboto"/>
    </font>
    <font>
      <sz val="10"/>
      <name val="Arial"/>
    </font>
    <font>
      <u/>
      <sz val="12"/>
      <color rgb="FF1155CC"/>
      <name val="Roboto"/>
    </font>
    <font>
      <u/>
      <sz val="12"/>
      <color rgb="FF333333"/>
      <name val="Roboto"/>
    </font>
    <font>
      <sz val="12"/>
      <color rgb="FF333333"/>
      <name val="Roboto"/>
    </font>
    <font>
      <sz val="11"/>
      <color rgb="FF333333"/>
      <name val="Roboto"/>
    </font>
    <font>
      <sz val="11"/>
      <color rgb="FFFF0000"/>
      <name val="Roboto"/>
    </font>
    <font>
      <b/>
      <sz val="11"/>
      <color rgb="FF333333"/>
      <name val="Roboto"/>
    </font>
    <font>
      <u/>
      <sz val="12"/>
      <color rgb="FF1155CC"/>
      <name val="Roboto"/>
    </font>
    <font>
      <u/>
      <sz val="12"/>
      <color rgb="FF1155CC"/>
      <name val="Roboto"/>
    </font>
    <font>
      <u/>
      <sz val="12"/>
      <color rgb="FF1155CC"/>
      <name val="Roboto"/>
    </font>
    <font>
      <u/>
      <sz val="12"/>
      <color rgb="FF1155CC"/>
      <name val="Roboto"/>
    </font>
    <font>
      <u/>
      <sz val="12"/>
      <color rgb="FF1155CC"/>
      <name val="Roboto"/>
    </font>
    <font>
      <b/>
      <u/>
      <sz val="12"/>
      <color rgb="FF000000"/>
      <name val="Roboto"/>
    </font>
    <font>
      <b/>
      <sz val="12"/>
      <color rgb="FF000000"/>
      <name val="Roboto"/>
    </font>
    <font>
      <b/>
      <sz val="11"/>
      <color rgb="FF000000"/>
      <name val="Roboto"/>
    </font>
    <font>
      <b/>
      <u/>
      <sz val="12"/>
      <color rgb="FF1155CC"/>
      <name val="Roboto"/>
    </font>
    <font>
      <b/>
      <u/>
      <sz val="12"/>
      <color rgb="FF1155CC"/>
      <name val="Roboto"/>
    </font>
    <font>
      <sz val="11"/>
      <color rgb="FFC9DAF8"/>
      <name val="Roboto"/>
    </font>
    <font>
      <u/>
      <sz val="12"/>
      <color rgb="FF000000"/>
      <name val="Roboto"/>
    </font>
    <font>
      <u/>
      <sz val="12"/>
      <color rgb="FF1155CC"/>
      <name val="Roboto"/>
    </font>
    <font>
      <sz val="12"/>
      <name val="Roboto"/>
    </font>
    <font>
      <u/>
      <sz val="12"/>
      <color rgb="FF1155CC"/>
      <name val="Roboto"/>
    </font>
    <font>
      <u/>
      <sz val="12"/>
      <color rgb="FF0000FF"/>
      <name val="Roboto"/>
    </font>
    <font>
      <u/>
      <sz val="12"/>
      <name val="Roboto"/>
    </font>
    <font>
      <b/>
      <sz val="14"/>
      <name val="Roboto"/>
    </font>
    <font>
      <u/>
      <sz val="12"/>
      <color rgb="FF1155CC"/>
      <name val="Arial"/>
    </font>
    <font>
      <u/>
      <sz val="12"/>
      <color rgb="FF1155CC"/>
      <name val="Arial"/>
    </font>
    <font>
      <sz val="12"/>
      <name val="Arial"/>
    </font>
    <font>
      <u/>
      <sz val="12"/>
      <color rgb="FF1155CC"/>
      <name val="Roboto"/>
    </font>
    <font>
      <u/>
      <sz val="12"/>
      <color rgb="FF1155CC"/>
      <name val="Arial"/>
    </font>
    <font>
      <b/>
      <sz val="12"/>
      <color rgb="FF1155CC"/>
      <name val="Roboto"/>
    </font>
    <font>
      <u/>
      <sz val="12"/>
      <color rgb="FF000000"/>
      <name val="Roboto"/>
    </font>
    <font>
      <u/>
      <sz val="12"/>
      <color rgb="FF000000"/>
      <name val="Roboto"/>
    </font>
    <font>
      <b/>
      <sz val="12"/>
      <color rgb="FFFF0000"/>
      <name val="Roboto"/>
    </font>
    <font>
      <u/>
      <sz val="12"/>
      <color rgb="FF000000"/>
      <name val="Roboto"/>
    </font>
    <font>
      <u/>
      <sz val="12"/>
      <color rgb="FF000000"/>
      <name val="Roboto"/>
    </font>
    <font>
      <u/>
      <sz val="12"/>
      <color rgb="FF000000"/>
      <name val="Docs-Roboto"/>
    </font>
    <font>
      <sz val="10"/>
      <color rgb="FF000000"/>
      <name val="Arial"/>
    </font>
    <font>
      <sz val="11"/>
      <color rgb="FF151515"/>
      <name val="Arial"/>
    </font>
    <font>
      <b/>
      <u/>
      <sz val="12"/>
      <color rgb="FF000000"/>
      <name val="Roboto"/>
    </font>
    <font>
      <sz val="12"/>
      <color rgb="FF333333"/>
      <name val="Arial"/>
    </font>
    <font>
      <sz val="12"/>
      <color rgb="FF000000"/>
      <name val="Arial"/>
    </font>
    <font>
      <b/>
      <u/>
      <sz val="12"/>
      <color rgb="FF0000FF"/>
      <name val="Roboto"/>
    </font>
    <font>
      <b/>
      <u/>
      <sz val="12"/>
      <color rgb="FF0000FF"/>
      <name val="Roboto"/>
    </font>
    <font>
      <sz val="10"/>
      <color rgb="FF333333"/>
      <name val="&quot;Helvetica Neue&quot;"/>
    </font>
    <font>
      <sz val="12"/>
      <color rgb="FF333333"/>
      <name val="&quot;Helvetica Neue&quot;"/>
    </font>
    <font>
      <b/>
      <u/>
      <sz val="12"/>
      <color rgb="FF0000FF"/>
      <name val="Roboto"/>
    </font>
    <font>
      <sz val="10"/>
      <color rgb="FF000000"/>
      <name val="Roboto"/>
    </font>
    <font>
      <u/>
      <sz val="12"/>
      <color rgb="FF0000FF"/>
      <name val="Roboto"/>
    </font>
    <font>
      <sz val="14"/>
      <name val="Arial"/>
    </font>
    <font>
      <b/>
      <u/>
      <sz val="12"/>
      <color rgb="FF000000"/>
      <name val="Roboto"/>
    </font>
    <font>
      <u/>
      <sz val="12"/>
      <color rgb="FF000000"/>
      <name val="Roboto"/>
    </font>
    <font>
      <u/>
      <sz val="12"/>
      <color rgb="FF1155CC"/>
      <name val="Roboto"/>
    </font>
    <font>
      <u/>
      <sz val="14"/>
      <color rgb="FF1155CC"/>
      <name val="Roboto"/>
    </font>
    <font>
      <sz val="11"/>
      <name val="Arial"/>
    </font>
    <font>
      <sz val="10"/>
      <name val="Arial"/>
    </font>
    <font>
      <b/>
      <u/>
      <sz val="12"/>
      <color rgb="FF000000"/>
      <name val="Roboto"/>
    </font>
    <font>
      <u/>
      <sz val="11"/>
      <color rgb="FF1155CC"/>
      <name val="Arial"/>
    </font>
    <font>
      <sz val="11"/>
      <color rgb="FF000000"/>
      <name val="Arial"/>
    </font>
    <font>
      <u/>
      <sz val="12"/>
      <color rgb="FF1155CC"/>
      <name val="Roboto"/>
    </font>
    <font>
      <sz val="11"/>
      <color rgb="FF2067B0"/>
      <name val="&quot;Helvetica Neue&quot;"/>
    </font>
    <font>
      <sz val="12"/>
      <color rgb="FF000000"/>
      <name val="Docs-Roboto"/>
    </font>
    <font>
      <u/>
      <sz val="12"/>
      <color rgb="FF000000"/>
      <name val="Roboto"/>
    </font>
    <font>
      <b/>
      <u/>
      <sz val="12"/>
      <color rgb="FF0000FF"/>
      <name val="Roboto"/>
    </font>
    <font>
      <u/>
      <sz val="12"/>
      <color rgb="FF0000FF"/>
      <name val="Roboto"/>
    </font>
    <font>
      <b/>
      <sz val="14"/>
      <name val="Arial"/>
    </font>
    <font>
      <u/>
      <sz val="12"/>
      <color rgb="FF000000"/>
      <name val="Docs-Roboto"/>
    </font>
    <font>
      <sz val="10"/>
      <color rgb="FF000000"/>
      <name val="Arial"/>
    </font>
    <font>
      <b/>
      <sz val="12"/>
      <color rgb="FF333333"/>
      <name val="&quot;Helvetica Neue&quot;"/>
    </font>
    <font>
      <sz val="11"/>
      <color rgb="FF151515"/>
      <name val="System-ui"/>
    </font>
    <font>
      <b/>
      <u/>
      <sz val="12"/>
      <color rgb="FF0000FF"/>
      <name val="Roboto"/>
    </font>
    <font>
      <sz val="8"/>
      <name val="Arial"/>
    </font>
    <font>
      <u/>
      <sz val="12"/>
      <color rgb="FF1155CC"/>
      <name val="Roboto"/>
    </font>
    <font>
      <sz val="11"/>
      <color rgb="FF000000"/>
      <name val="&quot;Helvetica Neue&quot;"/>
    </font>
    <font>
      <b/>
      <sz val="6"/>
      <name val="Roboto"/>
    </font>
    <font>
      <sz val="9"/>
      <name val="Roboto"/>
    </font>
    <font>
      <u/>
      <sz val="11"/>
      <color rgb="FF2067B0"/>
      <name val="&quot;Helvetica Neue&quot;"/>
    </font>
    <font>
      <sz val="12"/>
      <color rgb="FF000000"/>
      <name val="&quot;Helvetica Neue&quot;"/>
    </font>
    <font>
      <b/>
      <sz val="10"/>
      <color rgb="FF535C69"/>
      <name val="&quot;Helvetica Neue&quot;"/>
    </font>
    <font>
      <b/>
      <u/>
      <sz val="12"/>
      <color rgb="FF000000"/>
      <name val="Roboto"/>
    </font>
    <font>
      <b/>
      <u/>
      <sz val="12"/>
      <color rgb="FF000000"/>
      <name val="Roboto"/>
    </font>
    <font>
      <u/>
      <sz val="12"/>
      <color rgb="FF000000"/>
      <name val="Roboto"/>
    </font>
    <font>
      <strike/>
      <sz val="10"/>
      <name val="Roboto"/>
    </font>
    <font>
      <sz val="11"/>
      <color rgb="FF000000"/>
      <name val="Inconsolata"/>
    </font>
    <font>
      <sz val="10"/>
      <name val="Roboto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B6D7A8"/>
        <bgColor rgb="FFB6D7A8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6D9EEB"/>
        <bgColor rgb="FF6D9EEB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A4C2F4"/>
        <bgColor rgb="FFA4C2F4"/>
      </patternFill>
    </fill>
    <fill>
      <patternFill patternType="solid">
        <fgColor rgb="FFEDF1F3"/>
        <bgColor rgb="FFEDF1F3"/>
      </patternFill>
    </fill>
    <fill>
      <patternFill patternType="solid">
        <fgColor rgb="FFFBFBFB"/>
        <bgColor rgb="FFFBFBFB"/>
      </patternFill>
    </fill>
    <fill>
      <patternFill patternType="solid">
        <fgColor rgb="FFF9FAFB"/>
        <bgColor rgb="FFF9FAFB"/>
      </patternFill>
    </fill>
    <fill>
      <patternFill patternType="solid">
        <fgColor rgb="FFFFF2CC"/>
        <bgColor rgb="FFFFF2CC"/>
      </patternFill>
    </fill>
    <fill>
      <patternFill patternType="solid">
        <fgColor rgb="FFD3E8F0"/>
        <bgColor rgb="FFD3E8F0"/>
      </patternFill>
    </fill>
    <fill>
      <patternFill patternType="solid">
        <fgColor rgb="FFF6B26B"/>
        <bgColor rgb="FFF6B26B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72">
    <xf numFmtId="0" fontId="0" fillId="0" borderId="0" xfId="0" applyFont="1" applyAlignment="1"/>
    <xf numFmtId="0" fontId="5" fillId="2" borderId="0" xfId="0" applyFont="1" applyFill="1" applyAlignment="1">
      <alignment horizontal="center" vertical="top"/>
    </xf>
    <xf numFmtId="0" fontId="9" fillId="3" borderId="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vertical="center"/>
    </xf>
    <xf numFmtId="0" fontId="8" fillId="0" borderId="8" xfId="0" applyFont="1" applyBorder="1"/>
    <xf numFmtId="0" fontId="12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15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center"/>
    </xf>
    <xf numFmtId="0" fontId="18" fillId="6" borderId="4" xfId="0" applyFont="1" applyFill="1" applyBorder="1" applyAlignment="1">
      <alignment vertical="center"/>
    </xf>
    <xf numFmtId="0" fontId="3" fillId="6" borderId="4" xfId="0" applyFont="1" applyFill="1" applyBorder="1" applyAlignment="1">
      <alignment vertical="center"/>
    </xf>
    <xf numFmtId="0" fontId="3" fillId="6" borderId="4" xfId="0" applyFont="1" applyFill="1" applyBorder="1" applyAlignment="1">
      <alignment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left" vertical="center"/>
    </xf>
    <xf numFmtId="0" fontId="13" fillId="2" borderId="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8" fillId="6" borderId="8" xfId="0" applyFont="1" applyFill="1" applyBorder="1" applyAlignment="1">
      <alignment vertical="center"/>
    </xf>
    <xf numFmtId="0" fontId="22" fillId="6" borderId="4" xfId="0" applyFont="1" applyFill="1" applyBorder="1" applyAlignment="1">
      <alignment vertical="center"/>
    </xf>
    <xf numFmtId="0" fontId="15" fillId="6" borderId="5" xfId="0" applyFont="1" applyFill="1" applyBorder="1" applyAlignment="1">
      <alignment horizontal="center" vertical="center" wrapText="1"/>
    </xf>
    <xf numFmtId="0" fontId="23" fillId="0" borderId="11" xfId="0" applyFont="1" applyBorder="1"/>
    <xf numFmtId="0" fontId="24" fillId="0" borderId="8" xfId="0" applyFont="1" applyBorder="1" applyAlignment="1"/>
    <xf numFmtId="0" fontId="23" fillId="0" borderId="8" xfId="0" applyFont="1" applyBorder="1"/>
    <xf numFmtId="0" fontId="16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0" fontId="15" fillId="0" borderId="6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5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0" fillId="8" borderId="4" xfId="0" applyFont="1" applyFill="1" applyBorder="1" applyAlignment="1">
      <alignment horizontal="left" vertical="center"/>
    </xf>
    <xf numFmtId="0" fontId="13" fillId="8" borderId="4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wrapText="1"/>
    </xf>
    <xf numFmtId="0" fontId="15" fillId="8" borderId="5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 wrapText="1"/>
    </xf>
    <xf numFmtId="0" fontId="31" fillId="6" borderId="4" xfId="0" applyFont="1" applyFill="1" applyBorder="1" applyAlignment="1">
      <alignment vertical="center"/>
    </xf>
    <xf numFmtId="0" fontId="9" fillId="8" borderId="4" xfId="0" applyFont="1" applyFill="1" applyBorder="1" applyAlignment="1">
      <alignment horizontal="center" vertical="center" wrapText="1"/>
    </xf>
    <xf numFmtId="0" fontId="12" fillId="8" borderId="0" xfId="0" applyFont="1" applyFill="1" applyAlignment="1">
      <alignment vertical="center"/>
    </xf>
    <xf numFmtId="0" fontId="32" fillId="0" borderId="4" xfId="0" applyFont="1" applyBorder="1" applyAlignment="1">
      <alignment horizontal="left" vertical="center"/>
    </xf>
    <xf numFmtId="0" fontId="16" fillId="0" borderId="10" xfId="0" applyFont="1" applyBorder="1" applyAlignment="1">
      <alignment horizontal="center" vertical="center" wrapText="1"/>
    </xf>
    <xf numFmtId="0" fontId="33" fillId="9" borderId="4" xfId="0" applyFont="1" applyFill="1" applyBorder="1" applyAlignment="1">
      <alignment horizontal="left" vertical="center"/>
    </xf>
    <xf numFmtId="0" fontId="13" fillId="9" borderId="4" xfId="0" applyFont="1" applyFill="1" applyBorder="1" applyAlignment="1">
      <alignment horizontal="center" vertical="center" wrapText="1"/>
    </xf>
    <xf numFmtId="0" fontId="16" fillId="9" borderId="10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/>
    </xf>
    <xf numFmtId="0" fontId="34" fillId="10" borderId="4" xfId="0" applyFont="1" applyFill="1" applyBorder="1" applyAlignment="1">
      <alignment horizontal="left" vertical="center"/>
    </xf>
    <xf numFmtId="0" fontId="13" fillId="10" borderId="4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28" fillId="10" borderId="4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36" fillId="9" borderId="9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18" fillId="6" borderId="0" xfId="0" applyFont="1" applyFill="1" applyAlignment="1">
      <alignment vertical="center"/>
    </xf>
    <xf numFmtId="0" fontId="36" fillId="8" borderId="4" xfId="0" applyFont="1" applyFill="1" applyBorder="1" applyAlignment="1">
      <alignment horizontal="center" vertical="center" wrapText="1"/>
    </xf>
    <xf numFmtId="0" fontId="37" fillId="8" borderId="4" xfId="0" applyFont="1" applyFill="1" applyBorder="1" applyAlignment="1">
      <alignment horizontal="center" vertical="center" wrapText="1"/>
    </xf>
    <xf numFmtId="0" fontId="37" fillId="8" borderId="4" xfId="0" applyFont="1" applyFill="1" applyBorder="1" applyAlignment="1">
      <alignment horizontal="center" vertical="center"/>
    </xf>
    <xf numFmtId="0" fontId="38" fillId="6" borderId="9" xfId="0" applyFont="1" applyFill="1" applyBorder="1" applyAlignment="1">
      <alignment horizontal="left" vertical="center"/>
    </xf>
    <xf numFmtId="0" fontId="40" fillId="11" borderId="4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41" fillId="0" borderId="4" xfId="0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left" vertical="center"/>
    </xf>
    <xf numFmtId="0" fontId="43" fillId="0" borderId="8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3" fillId="0" borderId="0" xfId="0" applyFont="1" applyAlignment="1"/>
    <xf numFmtId="0" fontId="43" fillId="0" borderId="4" xfId="0" applyFont="1" applyBorder="1" applyAlignment="1">
      <alignment horizontal="center" vertical="center"/>
    </xf>
    <xf numFmtId="0" fontId="43" fillId="10" borderId="8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3" fillId="0" borderId="4" xfId="0" applyFont="1" applyBorder="1" applyAlignment="1">
      <alignment horizontal="left"/>
    </xf>
    <xf numFmtId="0" fontId="15" fillId="2" borderId="4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8" fillId="0" borderId="12" xfId="0" applyFont="1" applyBorder="1" applyAlignment="1">
      <alignment vertical="top"/>
    </xf>
    <xf numFmtId="0" fontId="43" fillId="0" borderId="8" xfId="0" applyFont="1" applyBorder="1" applyAlignment="1">
      <alignment horizontal="center" vertical="center" wrapText="1"/>
    </xf>
    <xf numFmtId="0" fontId="49" fillId="0" borderId="4" xfId="0" applyFont="1" applyBorder="1" applyAlignment="1">
      <alignment vertical="top"/>
    </xf>
    <xf numFmtId="0" fontId="4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vertical="top"/>
    </xf>
    <xf numFmtId="0" fontId="51" fillId="0" borderId="4" xfId="0" applyFont="1" applyBorder="1" applyAlignment="1">
      <alignment horizontal="left" vertical="center"/>
    </xf>
    <xf numFmtId="0" fontId="52" fillId="10" borderId="4" xfId="0" applyFont="1" applyFill="1" applyBorder="1" applyAlignment="1">
      <alignment vertical="top"/>
    </xf>
    <xf numFmtId="0" fontId="43" fillId="10" borderId="4" xfId="0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left"/>
    </xf>
    <xf numFmtId="0" fontId="43" fillId="10" borderId="4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/>
    </xf>
    <xf numFmtId="0" fontId="4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3" fillId="6" borderId="13" xfId="0" applyFont="1" applyFill="1" applyBorder="1" applyAlignment="1">
      <alignment horizontal="left" vertical="center"/>
    </xf>
    <xf numFmtId="0" fontId="13" fillId="0" borderId="14" xfId="0" applyFont="1" applyBorder="1" applyAlignment="1">
      <alignment horizontal="left" vertical="top"/>
    </xf>
    <xf numFmtId="0" fontId="53" fillId="2" borderId="9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53" fillId="2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0" fontId="16" fillId="2" borderId="4" xfId="0" applyFont="1" applyFill="1" applyBorder="1" applyAlignment="1">
      <alignment horizontal="center"/>
    </xf>
    <xf numFmtId="0" fontId="54" fillId="2" borderId="13" xfId="0" applyFont="1" applyFill="1" applyBorder="1" applyAlignment="1">
      <alignment horizontal="left" vertical="center"/>
    </xf>
    <xf numFmtId="0" fontId="55" fillId="2" borderId="4" xfId="0" applyFont="1" applyFill="1" applyBorder="1" applyAlignment="1">
      <alignment horizontal="left" vertical="center"/>
    </xf>
    <xf numFmtId="0" fontId="53" fillId="2" borderId="8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2" borderId="4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left" vertical="center"/>
    </xf>
    <xf numFmtId="0" fontId="13" fillId="8" borderId="4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/>
    </xf>
    <xf numFmtId="0" fontId="57" fillId="8" borderId="4" xfId="0" applyFont="1" applyFill="1" applyBorder="1" applyAlignment="1">
      <alignment horizontal="left" vertical="center"/>
    </xf>
    <xf numFmtId="0" fontId="53" fillId="8" borderId="8" xfId="0" applyFont="1" applyFill="1" applyBorder="1" applyAlignment="1">
      <alignment horizontal="center" vertical="center"/>
    </xf>
    <xf numFmtId="0" fontId="13" fillId="8" borderId="0" xfId="0" applyFont="1" applyFill="1" applyAlignment="1">
      <alignment horizontal="left"/>
    </xf>
    <xf numFmtId="0" fontId="13" fillId="8" borderId="8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58" fillId="0" borderId="4" xfId="0" applyFont="1" applyBorder="1" applyAlignment="1">
      <alignment horizontal="left" vertical="center"/>
    </xf>
    <xf numFmtId="0" fontId="59" fillId="0" borderId="0" xfId="0" applyFont="1" applyAlignment="1">
      <alignment horizontal="left"/>
    </xf>
    <xf numFmtId="0" fontId="60" fillId="0" borderId="0" xfId="0" applyFont="1"/>
    <xf numFmtId="0" fontId="13" fillId="0" borderId="14" xfId="0" applyFont="1" applyBorder="1" applyAlignment="1">
      <alignment vertical="top"/>
    </xf>
    <xf numFmtId="0" fontId="9" fillId="0" borderId="8" xfId="0" applyFont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4" xfId="0" applyFont="1" applyBorder="1" applyAlignment="1">
      <alignment horizontal="left" vertical="center"/>
    </xf>
    <xf numFmtId="0" fontId="53" fillId="0" borderId="8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left"/>
    </xf>
    <xf numFmtId="0" fontId="8" fillId="0" borderId="4" xfId="0" applyFont="1" applyBorder="1"/>
    <xf numFmtId="0" fontId="36" fillId="2" borderId="4" xfId="0" applyFont="1" applyFill="1" applyBorder="1" applyAlignment="1">
      <alignment horizontal="center" vertical="center"/>
    </xf>
    <xf numFmtId="0" fontId="8" fillId="0" borderId="4" xfId="0" applyFont="1" applyBorder="1" applyAlignment="1"/>
    <xf numFmtId="0" fontId="61" fillId="12" borderId="0" xfId="0" applyFont="1" applyFill="1" applyAlignment="1"/>
    <xf numFmtId="0" fontId="36" fillId="2" borderId="4" xfId="0" applyFont="1" applyFill="1" applyBorder="1" applyAlignment="1">
      <alignment horizontal="left" vertical="center"/>
    </xf>
    <xf numFmtId="0" fontId="37" fillId="2" borderId="4" xfId="0" applyFont="1" applyFill="1" applyBorder="1" applyAlignment="1">
      <alignment horizontal="center" vertical="center" wrapText="1"/>
    </xf>
    <xf numFmtId="0" fontId="36" fillId="8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center" vertical="center"/>
    </xf>
    <xf numFmtId="0" fontId="53" fillId="2" borderId="6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62" fillId="0" borderId="8" xfId="0" applyFont="1" applyBorder="1" applyAlignment="1">
      <alignment horizontal="left" vertical="center"/>
    </xf>
    <xf numFmtId="0" fontId="36" fillId="0" borderId="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/>
    </xf>
    <xf numFmtId="0" fontId="63" fillId="9" borderId="4" xfId="0" applyFont="1" applyFill="1" applyBorder="1" applyAlignment="1">
      <alignment horizontal="left" wrapText="1"/>
    </xf>
    <xf numFmtId="0" fontId="15" fillId="9" borderId="5" xfId="0" applyFont="1" applyFill="1" applyBorder="1" applyAlignment="1">
      <alignment horizontal="center" vertical="center"/>
    </xf>
    <xf numFmtId="0" fontId="36" fillId="9" borderId="4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 wrapText="1"/>
    </xf>
    <xf numFmtId="0" fontId="64" fillId="9" borderId="4" xfId="0" applyFont="1" applyFill="1" applyBorder="1" applyAlignment="1">
      <alignment horizontal="left" vertical="center" wrapText="1"/>
    </xf>
    <xf numFmtId="0" fontId="66" fillId="6" borderId="4" xfId="0" applyFont="1" applyFill="1" applyBorder="1" applyAlignment="1">
      <alignment vertical="center"/>
    </xf>
    <xf numFmtId="0" fontId="13" fillId="2" borderId="4" xfId="0" applyFont="1" applyFill="1" applyBorder="1" applyAlignment="1">
      <alignment horizontal="left" vertical="center"/>
    </xf>
    <xf numFmtId="0" fontId="67" fillId="12" borderId="0" xfId="0" applyFont="1" applyFill="1" applyAlignment="1"/>
    <xf numFmtId="0" fontId="68" fillId="12" borderId="0" xfId="0" applyFont="1" applyFill="1" applyAlignment="1"/>
    <xf numFmtId="0" fontId="9" fillId="0" borderId="13" xfId="0" applyFont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5" fillId="2" borderId="4" xfId="0" applyFont="1" applyFill="1" applyBorder="1" applyAlignment="1">
      <alignment vertical="top" wrapText="1"/>
    </xf>
    <xf numFmtId="0" fontId="15" fillId="2" borderId="10" xfId="0" applyFont="1" applyFill="1" applyBorder="1" applyAlignment="1">
      <alignment vertical="top" wrapText="1"/>
    </xf>
    <xf numFmtId="0" fontId="69" fillId="6" borderId="13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vertical="center"/>
    </xf>
    <xf numFmtId="0" fontId="15" fillId="13" borderId="4" xfId="0" applyFont="1" applyFill="1" applyBorder="1" applyAlignment="1">
      <alignment horizontal="center" vertical="center" wrapText="1"/>
    </xf>
    <xf numFmtId="0" fontId="70" fillId="2" borderId="0" xfId="0" applyFont="1" applyFill="1" applyAlignment="1">
      <alignment vertical="center"/>
    </xf>
    <xf numFmtId="0" fontId="9" fillId="2" borderId="5" xfId="0" applyFont="1" applyFill="1" applyBorder="1" applyAlignment="1">
      <alignment horizontal="center" vertical="center"/>
    </xf>
    <xf numFmtId="0" fontId="71" fillId="2" borderId="4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center" vertical="center"/>
    </xf>
    <xf numFmtId="0" fontId="53" fillId="6" borderId="4" xfId="0" applyFont="1" applyFill="1" applyBorder="1" applyAlignment="1">
      <alignment vertical="center"/>
    </xf>
    <xf numFmtId="0" fontId="72" fillId="0" borderId="14" xfId="0" applyFont="1" applyBorder="1" applyAlignment="1">
      <alignment horizontal="left" vertical="top"/>
    </xf>
    <xf numFmtId="0" fontId="3" fillId="0" borderId="4" xfId="0" applyFont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/>
    </xf>
    <xf numFmtId="0" fontId="36" fillId="10" borderId="4" xfId="0" applyFont="1" applyFill="1" applyBorder="1" applyAlignment="1">
      <alignment horizontal="left" vertical="center"/>
    </xf>
    <xf numFmtId="0" fontId="36" fillId="10" borderId="4" xfId="0" applyFont="1" applyFill="1" applyBorder="1" applyAlignment="1">
      <alignment horizontal="center" vertical="center" wrapText="1"/>
    </xf>
    <xf numFmtId="0" fontId="37" fillId="10" borderId="10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36" fillId="8" borderId="4" xfId="0" applyFont="1" applyFill="1" applyBorder="1" applyAlignment="1">
      <alignment horizontal="left" vertical="center"/>
    </xf>
    <xf numFmtId="0" fontId="37" fillId="8" borderId="10" xfId="0" applyFont="1" applyFill="1" applyBorder="1" applyAlignment="1">
      <alignment horizontal="center" vertical="center" wrapText="1"/>
    </xf>
    <xf numFmtId="0" fontId="37" fillId="8" borderId="5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73" fillId="8" borderId="4" xfId="0" applyFont="1" applyFill="1" applyBorder="1" applyAlignment="1">
      <alignment horizontal="left" vertical="center"/>
    </xf>
    <xf numFmtId="0" fontId="9" fillId="8" borderId="5" xfId="0" applyFont="1" applyFill="1" applyBorder="1" applyAlignment="1">
      <alignment horizontal="center" vertical="center" wrapText="1"/>
    </xf>
    <xf numFmtId="0" fontId="9" fillId="8" borderId="4" xfId="0" applyFont="1" applyFill="1" applyBorder="1" applyAlignment="1">
      <alignment horizontal="center" vertical="center"/>
    </xf>
    <xf numFmtId="0" fontId="74" fillId="14" borderId="4" xfId="0" applyFont="1" applyFill="1" applyBorder="1" applyAlignment="1">
      <alignment horizontal="left" vertical="center"/>
    </xf>
    <xf numFmtId="0" fontId="13" fillId="14" borderId="4" xfId="0" applyFont="1" applyFill="1" applyBorder="1" applyAlignment="1">
      <alignment horizontal="center" vertical="center" wrapText="1"/>
    </xf>
    <xf numFmtId="0" fontId="16" fillId="14" borderId="10" xfId="0" applyFont="1" applyFill="1" applyBorder="1" applyAlignment="1">
      <alignment horizontal="center" vertical="center" wrapText="1"/>
    </xf>
    <xf numFmtId="0" fontId="15" fillId="14" borderId="4" xfId="0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0" fontId="16" fillId="14" borderId="4" xfId="0" applyFont="1" applyFill="1" applyBorder="1" applyAlignment="1">
      <alignment horizontal="center" vertical="center" wrapText="1"/>
    </xf>
    <xf numFmtId="0" fontId="15" fillId="14" borderId="4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vertical="center"/>
    </xf>
    <xf numFmtId="0" fontId="75" fillId="0" borderId="4" xfId="0" applyFont="1" applyBorder="1" applyAlignment="1">
      <alignment horizontal="left" vertical="center"/>
    </xf>
    <xf numFmtId="0" fontId="68" fillId="0" borderId="0" xfId="0" applyFont="1" applyAlignment="1">
      <alignment horizontal="left"/>
    </xf>
    <xf numFmtId="0" fontId="76" fillId="0" borderId="4" xfId="0" applyFont="1" applyBorder="1" applyAlignment="1">
      <alignment horizontal="left" vertical="center"/>
    </xf>
    <xf numFmtId="0" fontId="3" fillId="6" borderId="0" xfId="0" applyFont="1" applyFill="1" applyAlignment="1">
      <alignment vertical="center"/>
    </xf>
    <xf numFmtId="0" fontId="9" fillId="6" borderId="10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left" vertical="top"/>
    </xf>
    <xf numFmtId="0" fontId="36" fillId="0" borderId="4" xfId="0" applyFont="1" applyBorder="1" applyAlignment="1">
      <alignment horizontal="left" vertical="center"/>
    </xf>
    <xf numFmtId="0" fontId="77" fillId="0" borderId="14" xfId="0" applyFont="1" applyBorder="1" applyAlignment="1">
      <alignment horizontal="left" vertical="top"/>
    </xf>
    <xf numFmtId="0" fontId="78" fillId="0" borderId="14" xfId="0" applyFont="1" applyBorder="1" applyAlignment="1">
      <alignment horizontal="left" vertical="top"/>
    </xf>
    <xf numFmtId="0" fontId="70" fillId="0" borderId="0" xfId="0" applyFont="1" applyAlignment="1">
      <alignment vertical="center"/>
    </xf>
    <xf numFmtId="0" fontId="79" fillId="2" borderId="4" xfId="0" applyFont="1" applyFill="1" applyBorder="1" applyAlignment="1">
      <alignment horizontal="left" vertical="center"/>
    </xf>
    <xf numFmtId="0" fontId="36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left" vertical="center"/>
    </xf>
    <xf numFmtId="0" fontId="15" fillId="9" borderId="4" xfId="0" applyFont="1" applyFill="1" applyBorder="1" applyAlignment="1">
      <alignment horizontal="center" vertical="center"/>
    </xf>
    <xf numFmtId="0" fontId="80" fillId="13" borderId="4" xfId="0" applyFont="1" applyFill="1" applyBorder="1" applyAlignment="1">
      <alignment horizontal="left"/>
    </xf>
    <xf numFmtId="0" fontId="81" fillId="13" borderId="4" xfId="0" applyFont="1" applyFill="1" applyBorder="1" applyAlignment="1">
      <alignment horizontal="left"/>
    </xf>
    <xf numFmtId="0" fontId="81" fillId="13" borderId="4" xfId="0" applyFont="1" applyFill="1" applyBorder="1" applyAlignment="1">
      <alignment horizontal="center"/>
    </xf>
    <xf numFmtId="0" fontId="12" fillId="0" borderId="0" xfId="0" applyFont="1" applyAlignment="1">
      <alignment vertical="center"/>
    </xf>
    <xf numFmtId="0" fontId="82" fillId="2" borderId="4" xfId="0" applyFont="1" applyFill="1" applyBorder="1" applyAlignment="1"/>
    <xf numFmtId="0" fontId="83" fillId="14" borderId="0" xfId="0" applyFont="1" applyFill="1" applyAlignment="1"/>
    <xf numFmtId="0" fontId="36" fillId="9" borderId="4" xfId="0" applyFont="1" applyFill="1" applyBorder="1" applyAlignment="1">
      <alignment horizontal="left" vertical="center"/>
    </xf>
    <xf numFmtId="0" fontId="36" fillId="9" borderId="4" xfId="0" applyFont="1" applyFill="1" applyBorder="1" applyAlignment="1">
      <alignment horizontal="center" vertical="center" wrapText="1"/>
    </xf>
    <xf numFmtId="0" fontId="37" fillId="9" borderId="4" xfId="0" applyFont="1" applyFill="1" applyBorder="1" applyAlignment="1">
      <alignment horizontal="center" vertical="center" wrapText="1"/>
    </xf>
    <xf numFmtId="0" fontId="37" fillId="9" borderId="5" xfId="0" applyFont="1" applyFill="1" applyBorder="1" applyAlignment="1">
      <alignment horizontal="center" vertical="center" wrapText="1"/>
    </xf>
    <xf numFmtId="0" fontId="37" fillId="9" borderId="5" xfId="0" applyFont="1" applyFill="1" applyBorder="1" applyAlignment="1">
      <alignment horizontal="center" vertical="center"/>
    </xf>
    <xf numFmtId="0" fontId="84" fillId="2" borderId="4" xfId="0" applyFont="1" applyFill="1" applyBorder="1" applyAlignment="1">
      <alignment horizontal="left"/>
    </xf>
    <xf numFmtId="0" fontId="84" fillId="2" borderId="0" xfId="0" applyFont="1" applyFill="1" applyAlignment="1">
      <alignment horizontal="left"/>
    </xf>
    <xf numFmtId="0" fontId="43" fillId="0" borderId="14" xfId="0" applyFont="1" applyBorder="1" applyAlignment="1">
      <alignment vertical="top"/>
    </xf>
    <xf numFmtId="0" fontId="13" fillId="2" borderId="0" xfId="0" applyFont="1" applyFill="1" applyAlignment="1"/>
    <xf numFmtId="0" fontId="12" fillId="2" borderId="0" xfId="0" applyFont="1" applyFill="1" applyAlignment="1">
      <alignment vertical="center"/>
    </xf>
    <xf numFmtId="0" fontId="15" fillId="2" borderId="5" xfId="0" applyFont="1" applyFill="1" applyBorder="1" applyAlignment="1">
      <alignment horizontal="center" vertical="center"/>
    </xf>
    <xf numFmtId="0" fontId="85" fillId="15" borderId="4" xfId="0" applyFont="1" applyFill="1" applyBorder="1" applyAlignment="1">
      <alignment horizontal="left" vertical="center"/>
    </xf>
    <xf numFmtId="0" fontId="13" fillId="15" borderId="4" xfId="0" applyFont="1" applyFill="1" applyBorder="1" applyAlignment="1">
      <alignment horizontal="center" vertical="center" wrapText="1"/>
    </xf>
    <xf numFmtId="0" fontId="16" fillId="15" borderId="10" xfId="0" applyFont="1" applyFill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5" xfId="0" applyFont="1" applyFill="1" applyBorder="1" applyAlignment="1">
      <alignment horizontal="center" vertical="center" wrapText="1"/>
    </xf>
    <xf numFmtId="0" fontId="16" fillId="15" borderId="4" xfId="0" applyFont="1" applyFill="1" applyBorder="1" applyAlignment="1">
      <alignment horizontal="center" vertical="center" wrapText="1"/>
    </xf>
    <xf numFmtId="0" fontId="37" fillId="15" borderId="4" xfId="0" applyFont="1" applyFill="1" applyBorder="1" applyAlignment="1">
      <alignment horizontal="center" vertical="center"/>
    </xf>
    <xf numFmtId="0" fontId="13" fillId="15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top"/>
    </xf>
    <xf numFmtId="0" fontId="12" fillId="6" borderId="4" xfId="0" applyFont="1" applyFill="1" applyBorder="1" applyAlignment="1">
      <alignment vertical="center"/>
    </xf>
    <xf numFmtId="0" fontId="87" fillId="6" borderId="4" xfId="0" applyFont="1" applyFill="1" applyBorder="1" applyAlignment="1">
      <alignment vertical="center"/>
    </xf>
    <xf numFmtId="0" fontId="43" fillId="6" borderId="4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43" fillId="13" borderId="4" xfId="0" applyFont="1" applyFill="1" applyBorder="1" applyAlignment="1">
      <alignment vertical="center"/>
    </xf>
    <xf numFmtId="0" fontId="43" fillId="13" borderId="4" xfId="0" applyFont="1" applyFill="1" applyBorder="1" applyAlignment="1">
      <alignment vertical="center"/>
    </xf>
    <xf numFmtId="0" fontId="15" fillId="13" borderId="10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 wrapText="1"/>
    </xf>
    <xf numFmtId="0" fontId="13" fillId="13" borderId="0" xfId="0" applyFont="1" applyFill="1" applyAlignment="1">
      <alignment horizontal="center"/>
    </xf>
    <xf numFmtId="0" fontId="19" fillId="13" borderId="5" xfId="0" applyFont="1" applyFill="1" applyBorder="1" applyAlignment="1">
      <alignment horizontal="center" vertical="center" wrapText="1"/>
    </xf>
    <xf numFmtId="0" fontId="9" fillId="13" borderId="8" xfId="0" applyFont="1" applyFill="1" applyBorder="1" applyAlignment="1">
      <alignment horizontal="center" vertical="center"/>
    </xf>
    <xf numFmtId="0" fontId="23" fillId="0" borderId="3" xfId="0" applyFont="1" applyBorder="1"/>
    <xf numFmtId="0" fontId="43" fillId="8" borderId="8" xfId="0" applyFont="1" applyFill="1" applyBorder="1" applyAlignment="1"/>
    <xf numFmtId="0" fontId="23" fillId="8" borderId="8" xfId="0" applyFont="1" applyFill="1" applyBorder="1"/>
    <xf numFmtId="0" fontId="15" fillId="8" borderId="8" xfId="0" applyFont="1" applyFill="1" applyBorder="1" applyAlignment="1">
      <alignment horizontal="center"/>
    </xf>
    <xf numFmtId="0" fontId="88" fillId="8" borderId="4" xfId="0" applyFont="1" applyFill="1" applyBorder="1" applyAlignment="1"/>
    <xf numFmtId="0" fontId="9" fillId="8" borderId="9" xfId="0" applyFont="1" applyFill="1" applyBorder="1" applyAlignment="1">
      <alignment horizontal="center" wrapText="1"/>
    </xf>
    <xf numFmtId="0" fontId="13" fillId="8" borderId="8" xfId="0" applyFont="1" applyFill="1" applyBorder="1" applyAlignment="1">
      <alignment horizontal="center"/>
    </xf>
    <xf numFmtId="0" fontId="19" fillId="8" borderId="8" xfId="0" applyFont="1" applyFill="1" applyBorder="1" applyAlignment="1">
      <alignment horizontal="center" wrapText="1"/>
    </xf>
    <xf numFmtId="0" fontId="9" fillId="8" borderId="8" xfId="0" applyFont="1" applyFill="1" applyBorder="1" applyAlignment="1">
      <alignment horizontal="center" wrapText="1"/>
    </xf>
    <xf numFmtId="0" fontId="9" fillId="8" borderId="8" xfId="0" applyFont="1" applyFill="1" applyBorder="1" applyAlignment="1">
      <alignment horizontal="center" wrapText="1"/>
    </xf>
    <xf numFmtId="0" fontId="50" fillId="8" borderId="8" xfId="0" applyFont="1" applyFill="1" applyBorder="1" applyAlignment="1">
      <alignment horizontal="center"/>
    </xf>
    <xf numFmtId="0" fontId="89" fillId="0" borderId="4" xfId="0" applyFont="1" applyBorder="1" applyAlignment="1">
      <alignment horizontal="left"/>
    </xf>
    <xf numFmtId="0" fontId="60" fillId="0" borderId="4" xfId="0" applyFont="1" applyBorder="1"/>
    <xf numFmtId="0" fontId="50" fillId="0" borderId="14" xfId="0" applyFont="1" applyBorder="1" applyAlignment="1">
      <alignment vertical="top"/>
    </xf>
    <xf numFmtId="0" fontId="90" fillId="2" borderId="4" xfId="0" applyFont="1" applyFill="1" applyBorder="1" applyAlignment="1">
      <alignment horizontal="left"/>
    </xf>
    <xf numFmtId="0" fontId="90" fillId="0" borderId="4" xfId="0" applyFont="1" applyBorder="1" applyAlignment="1">
      <alignment horizontal="left"/>
    </xf>
    <xf numFmtId="0" fontId="13" fillId="8" borderId="0" xfId="0" applyFont="1" applyFill="1" applyAlignment="1">
      <alignment horizontal="center"/>
    </xf>
    <xf numFmtId="0" fontId="47" fillId="0" borderId="4" xfId="0" applyFont="1" applyBorder="1" applyAlignment="1">
      <alignment horizontal="center" vertical="center" wrapText="1"/>
    </xf>
    <xf numFmtId="0" fontId="91" fillId="0" borderId="0" xfId="0" applyFont="1" applyAlignment="1"/>
    <xf numFmtId="0" fontId="37" fillId="6" borderId="4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left"/>
    </xf>
    <xf numFmtId="0" fontId="15" fillId="0" borderId="8" xfId="0" applyFont="1" applyBorder="1" applyAlignment="1">
      <alignment horizontal="center"/>
    </xf>
    <xf numFmtId="0" fontId="16" fillId="2" borderId="8" xfId="0" applyFont="1" applyFill="1" applyBorder="1" applyAlignment="1">
      <alignment horizontal="center" wrapText="1"/>
    </xf>
    <xf numFmtId="0" fontId="15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27" fillId="0" borderId="4" xfId="0" applyFont="1" applyBorder="1" applyAlignment="1">
      <alignment horizontal="center" vertical="center"/>
    </xf>
    <xf numFmtId="0" fontId="92" fillId="12" borderId="4" xfId="0" applyFont="1" applyFill="1" applyBorder="1" applyAlignment="1">
      <alignment horizontal="left"/>
    </xf>
    <xf numFmtId="0" fontId="61" fillId="12" borderId="4" xfId="0" applyFont="1" applyFill="1" applyBorder="1" applyAlignment="1">
      <alignment horizontal="left"/>
    </xf>
    <xf numFmtId="0" fontId="93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vertical="center"/>
    </xf>
    <xf numFmtId="0" fontId="50" fillId="0" borderId="0" xfId="0" applyFont="1" applyAlignment="1">
      <alignment vertical="top"/>
    </xf>
    <xf numFmtId="0" fontId="43" fillId="2" borderId="4" xfId="0" applyFont="1" applyFill="1" applyBorder="1" applyAlignment="1">
      <alignment horizontal="center" vertical="center"/>
    </xf>
    <xf numFmtId="0" fontId="50" fillId="0" borderId="4" xfId="0" applyFont="1" applyBorder="1" applyAlignment="1">
      <alignment vertical="top"/>
    </xf>
    <xf numFmtId="0" fontId="13" fillId="2" borderId="6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/>
    </xf>
    <xf numFmtId="0" fontId="53" fillId="6" borderId="6" xfId="0" applyFont="1" applyFill="1" applyBorder="1" applyAlignment="1">
      <alignment vertical="center"/>
    </xf>
    <xf numFmtId="0" fontId="36" fillId="6" borderId="6" xfId="0" applyFont="1" applyFill="1" applyBorder="1" applyAlignment="1">
      <alignment vertical="center"/>
    </xf>
    <xf numFmtId="0" fontId="3" fillId="6" borderId="6" xfId="0" applyFont="1" applyFill="1" applyBorder="1" applyAlignment="1">
      <alignment vertical="center"/>
    </xf>
    <xf numFmtId="0" fontId="12" fillId="0" borderId="0" xfId="0" applyFont="1"/>
    <xf numFmtId="0" fontId="43" fillId="0" borderId="4" xfId="0" applyFont="1" applyBorder="1"/>
    <xf numFmtId="0" fontId="15" fillId="0" borderId="4" xfId="0" applyFont="1" applyBorder="1" applyAlignment="1">
      <alignment horizontal="center"/>
    </xf>
    <xf numFmtId="0" fontId="15" fillId="0" borderId="4" xfId="0" applyFont="1" applyBorder="1" applyAlignment="1">
      <alignment wrapText="1"/>
    </xf>
    <xf numFmtId="0" fontId="15" fillId="0" borderId="4" xfId="0" applyFont="1" applyBorder="1" applyAlignment="1">
      <alignment horizontal="center" wrapText="1"/>
    </xf>
    <xf numFmtId="0" fontId="15" fillId="0" borderId="4" xfId="0" applyFont="1" applyBorder="1"/>
    <xf numFmtId="0" fontId="43" fillId="0" borderId="4" xfId="0" applyFont="1" applyBorder="1" applyAlignment="1"/>
    <xf numFmtId="0" fontId="15" fillId="0" borderId="4" xfId="0" applyFont="1" applyBorder="1" applyAlignment="1">
      <alignment wrapText="1"/>
    </xf>
    <xf numFmtId="0" fontId="43" fillId="0" borderId="5" xfId="0" applyFont="1" applyBorder="1"/>
    <xf numFmtId="0" fontId="15" fillId="0" borderId="5" xfId="0" applyFont="1" applyBorder="1" applyAlignment="1">
      <alignment horizontal="center"/>
    </xf>
    <xf numFmtId="0" fontId="15" fillId="0" borderId="5" xfId="0" applyFont="1" applyBorder="1"/>
    <xf numFmtId="0" fontId="94" fillId="0" borderId="15" xfId="0" applyFont="1" applyBorder="1" applyAlignment="1">
      <alignment vertical="top"/>
    </xf>
    <xf numFmtId="0" fontId="94" fillId="0" borderId="0" xfId="0" applyFont="1" applyAlignment="1">
      <alignment vertical="top"/>
    </xf>
    <xf numFmtId="0" fontId="16" fillId="11" borderId="4" xfId="0" applyFont="1" applyFill="1" applyBorder="1" applyAlignment="1">
      <alignment horizontal="center" vertical="center" wrapText="1"/>
    </xf>
    <xf numFmtId="0" fontId="95" fillId="8" borderId="4" xfId="0" applyFont="1" applyFill="1" applyBorder="1" applyAlignment="1"/>
    <xf numFmtId="0" fontId="43" fillId="8" borderId="4" xfId="0" applyFont="1" applyFill="1" applyBorder="1"/>
    <xf numFmtId="0" fontId="15" fillId="8" borderId="4" xfId="0" applyFont="1" applyFill="1" applyBorder="1" applyAlignment="1">
      <alignment horizontal="center"/>
    </xf>
    <xf numFmtId="0" fontId="15" fillId="8" borderId="4" xfId="0" applyFont="1" applyFill="1" applyBorder="1" applyAlignment="1">
      <alignment horizontal="center"/>
    </xf>
    <xf numFmtId="0" fontId="15" fillId="8" borderId="4" xfId="0" applyFont="1" applyFill="1" applyBorder="1" applyAlignment="1">
      <alignment wrapText="1"/>
    </xf>
    <xf numFmtId="0" fontId="9" fillId="8" borderId="4" xfId="0" applyFont="1" applyFill="1" applyBorder="1" applyAlignment="1">
      <alignment horizontal="center"/>
    </xf>
    <xf numFmtId="0" fontId="9" fillId="8" borderId="4" xfId="0" applyFont="1" applyFill="1" applyBorder="1"/>
    <xf numFmtId="0" fontId="96" fillId="8" borderId="4" xfId="0" applyFont="1" applyFill="1" applyBorder="1" applyAlignment="1">
      <alignment horizontal="left"/>
    </xf>
    <xf numFmtId="0" fontId="15" fillId="8" borderId="4" xfId="0" applyFont="1" applyFill="1" applyBorder="1" applyAlignment="1">
      <alignment wrapText="1"/>
    </xf>
    <xf numFmtId="0" fontId="15" fillId="8" borderId="4" xfId="0" applyFont="1" applyFill="1" applyBorder="1"/>
    <xf numFmtId="0" fontId="43" fillId="0" borderId="0" xfId="0" applyFont="1"/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15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>
      <alignment horizontal="left" vertical="center"/>
    </xf>
    <xf numFmtId="0" fontId="12" fillId="0" borderId="0" xfId="0" applyFont="1" applyAlignment="1"/>
    <xf numFmtId="0" fontId="13" fillId="10" borderId="4" xfId="0" applyFont="1" applyFill="1" applyBorder="1" applyAlignment="1">
      <alignment horizontal="left" vertical="center"/>
    </xf>
    <xf numFmtId="0" fontId="15" fillId="10" borderId="5" xfId="0" applyFont="1" applyFill="1" applyBorder="1" applyAlignment="1">
      <alignment horizontal="center" vertical="center"/>
    </xf>
    <xf numFmtId="0" fontId="16" fillId="10" borderId="5" xfId="0" applyFont="1" applyFill="1" applyBorder="1" applyAlignment="1">
      <alignment horizontal="center" vertical="center" wrapText="1"/>
    </xf>
    <xf numFmtId="0" fontId="98" fillId="0" borderId="4" xfId="0" applyFont="1" applyBorder="1" applyAlignment="1">
      <alignment horizontal="center" vertical="center" wrapText="1"/>
    </xf>
    <xf numFmtId="0" fontId="43" fillId="10" borderId="0" xfId="0" applyFont="1" applyFill="1" applyAlignment="1">
      <alignment wrapText="1"/>
    </xf>
    <xf numFmtId="0" fontId="16" fillId="10" borderId="4" xfId="0" applyFont="1" applyFill="1" applyBorder="1" applyAlignment="1">
      <alignment horizontal="center" wrapText="1"/>
    </xf>
    <xf numFmtId="0" fontId="15" fillId="10" borderId="4" xfId="0" applyFont="1" applyFill="1" applyBorder="1" applyAlignment="1">
      <alignment horizontal="center" wrapText="1"/>
    </xf>
    <xf numFmtId="0" fontId="15" fillId="10" borderId="4" xfId="0" applyFont="1" applyFill="1" applyBorder="1" applyAlignment="1">
      <alignment horizontal="center"/>
    </xf>
    <xf numFmtId="0" fontId="43" fillId="10" borderId="4" xfId="0" applyFont="1" applyFill="1" applyBorder="1" applyAlignment="1">
      <alignment wrapText="1"/>
    </xf>
    <xf numFmtId="0" fontId="43" fillId="10" borderId="4" xfId="0" applyFont="1" applyFill="1" applyBorder="1" applyAlignment="1">
      <alignment vertical="top"/>
    </xf>
    <xf numFmtId="0" fontId="43" fillId="0" borderId="0" xfId="0" applyFont="1" applyAlignment="1"/>
    <xf numFmtId="0" fontId="23" fillId="0" borderId="4" xfId="0" applyFont="1" applyBorder="1" applyAlignment="1"/>
    <xf numFmtId="0" fontId="16" fillId="2" borderId="4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 wrapText="1"/>
    </xf>
    <xf numFmtId="0" fontId="15" fillId="2" borderId="4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43" fillId="0" borderId="4" xfId="0" applyFont="1" applyBorder="1" applyAlignment="1"/>
    <xf numFmtId="0" fontId="23" fillId="0" borderId="4" xfId="0" applyFont="1" applyBorder="1" applyAlignment="1">
      <alignment horizontal="center"/>
    </xf>
    <xf numFmtId="0" fontId="99" fillId="14" borderId="0" xfId="0" applyFont="1" applyFill="1" applyAlignment="1"/>
    <xf numFmtId="0" fontId="100" fillId="13" borderId="4" xfId="0" applyFont="1" applyFill="1" applyBorder="1" applyAlignment="1">
      <alignment horizontal="left"/>
    </xf>
    <xf numFmtId="0" fontId="64" fillId="13" borderId="4" xfId="0" applyFont="1" applyFill="1" applyBorder="1" applyAlignment="1">
      <alignment horizontal="left"/>
    </xf>
    <xf numFmtId="0" fontId="13" fillId="2" borderId="9" xfId="0" applyFont="1" applyFill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13" fillId="2" borderId="8" xfId="0" applyFont="1" applyFill="1" applyBorder="1" applyAlignment="1">
      <alignment horizontal="left" vertical="center"/>
    </xf>
    <xf numFmtId="0" fontId="101" fillId="16" borderId="0" xfId="0" applyFont="1" applyFill="1" applyAlignment="1">
      <alignment horizontal="left"/>
    </xf>
    <xf numFmtId="0" fontId="102" fillId="17" borderId="4" xfId="0" applyFont="1" applyFill="1" applyBorder="1" applyAlignment="1">
      <alignment horizontal="left" vertical="center"/>
    </xf>
    <xf numFmtId="0" fontId="36" fillId="17" borderId="4" xfId="0" applyFont="1" applyFill="1" applyBorder="1" applyAlignment="1">
      <alignment horizontal="center" vertical="center" wrapText="1"/>
    </xf>
    <xf numFmtId="0" fontId="37" fillId="17" borderId="10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9" fillId="17" borderId="5" xfId="0" applyFont="1" applyFill="1" applyBorder="1" applyAlignment="1">
      <alignment horizontal="center" vertical="center" wrapText="1"/>
    </xf>
    <xf numFmtId="0" fontId="37" fillId="17" borderId="4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03" fillId="10" borderId="4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2" borderId="0" xfId="0" applyFont="1" applyFill="1" applyAlignment="1"/>
    <xf numFmtId="0" fontId="12" fillId="2" borderId="0" xfId="0" applyFont="1" applyFill="1"/>
    <xf numFmtId="0" fontId="70" fillId="0" borderId="0" xfId="0" applyFont="1"/>
    <xf numFmtId="0" fontId="13" fillId="2" borderId="16" xfId="0" applyFont="1" applyFill="1" applyBorder="1" applyAlignment="1">
      <alignment horizontal="left" vertical="center"/>
    </xf>
    <xf numFmtId="0" fontId="64" fillId="8" borderId="16" xfId="0" applyFont="1" applyFill="1" applyBorder="1" applyAlignment="1">
      <alignment horizontal="left"/>
    </xf>
    <xf numFmtId="0" fontId="104" fillId="10" borderId="4" xfId="0" applyFont="1" applyFill="1" applyBorder="1" applyAlignment="1">
      <alignment horizontal="left" vertical="center"/>
    </xf>
    <xf numFmtId="0" fontId="3" fillId="10" borderId="4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vertical="center"/>
    </xf>
    <xf numFmtId="0" fontId="43" fillId="2" borderId="4" xfId="0" applyFont="1" applyFill="1" applyBorder="1" applyAlignment="1">
      <alignment vertical="center"/>
    </xf>
    <xf numFmtId="0" fontId="15" fillId="2" borderId="10" xfId="0" applyFont="1" applyFill="1" applyBorder="1" applyAlignment="1">
      <alignment horizontal="center" vertical="center"/>
    </xf>
    <xf numFmtId="0" fontId="13" fillId="0" borderId="0" xfId="0" applyFont="1" applyAlignment="1"/>
    <xf numFmtId="0" fontId="13" fillId="2" borderId="0" xfId="0" applyFont="1" applyFill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26" fillId="12" borderId="4" xfId="0" applyFont="1" applyFill="1" applyBorder="1" applyAlignment="1">
      <alignment horizontal="left"/>
    </xf>
    <xf numFmtId="0" fontId="47" fillId="8" borderId="4" xfId="0" applyFont="1" applyFill="1" applyBorder="1" applyAlignment="1">
      <alignment horizontal="center" vertical="center" wrapText="1"/>
    </xf>
    <xf numFmtId="0" fontId="13" fillId="13" borderId="0" xfId="0" applyFont="1" applyFill="1" applyAlignment="1">
      <alignment horizontal="left"/>
    </xf>
    <xf numFmtId="0" fontId="15" fillId="0" borderId="8" xfId="0" applyFont="1" applyBorder="1" applyAlignment="1">
      <alignment horizontal="center"/>
    </xf>
    <xf numFmtId="0" fontId="105" fillId="0" borderId="0" xfId="0" applyFont="1" applyAlignment="1"/>
    <xf numFmtId="0" fontId="12" fillId="0" borderId="4" xfId="0" applyFont="1" applyBorder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06" fillId="2" borderId="0" xfId="0" applyFont="1" applyFill="1"/>
    <xf numFmtId="0" fontId="107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8" fillId="0" borderId="2" xfId="0" applyFont="1" applyBorder="1"/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164" fontId="9" fillId="3" borderId="1" xfId="0" applyNumberFormat="1" applyFont="1" applyFill="1" applyBorder="1" applyAlignment="1">
      <alignment horizontal="right" vertical="center"/>
    </xf>
    <xf numFmtId="0" fontId="9" fillId="3" borderId="1" xfId="0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53" fillId="11" borderId="13" xfId="0" applyFont="1" applyFill="1" applyBorder="1" applyAlignment="1">
      <alignment horizontal="left" vertical="center"/>
    </xf>
    <xf numFmtId="0" fontId="8" fillId="0" borderId="9" xfId="0" applyFont="1" applyBorder="1"/>
    <xf numFmtId="0" fontId="69" fillId="6" borderId="13" xfId="0" applyFont="1" applyFill="1" applyBorder="1" applyAlignment="1">
      <alignment horizontal="center" vertical="center"/>
    </xf>
    <xf numFmtId="0" fontId="8" fillId="0" borderId="8" xfId="0" applyFont="1" applyBorder="1"/>
    <xf numFmtId="0" fontId="36" fillId="6" borderId="13" xfId="0" applyFont="1" applyFill="1" applyBorder="1" applyAlignment="1">
      <alignment horizontal="center" vertical="center"/>
    </xf>
    <xf numFmtId="0" fontId="86" fillId="7" borderId="9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39" fillId="6" borderId="9" xfId="0" applyFont="1" applyFill="1" applyBorder="1" applyAlignment="1">
      <alignment horizontal="center" vertical="center"/>
    </xf>
    <xf numFmtId="0" fontId="53" fillId="6" borderId="13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65" fillId="11" borderId="9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left" vertical="center"/>
    </xf>
    <xf numFmtId="0" fontId="97" fillId="7" borderId="9" xfId="0" applyFont="1" applyFill="1" applyBorder="1" applyAlignment="1">
      <alignment horizontal="left" vertical="center"/>
    </xf>
    <xf numFmtId="0" fontId="3" fillId="7" borderId="9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7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3.gif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1</xdr:row>
      <xdr:rowOff>38100</xdr:rowOff>
    </xdr:from>
    <xdr:ext cx="2419350" cy="1057275"/>
    <xdr:grpSp>
      <xdr:nvGrpSpPr>
        <xdr:cNvPr id="2" name="Shape 2" title="Рисунок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00025" y="333375"/>
          <a:ext cx="2419350" cy="1057275"/>
          <a:chOff x="152400" y="152400"/>
          <a:chExt cx="1762125" cy="762000"/>
        </a:xfrm>
      </xdr:grpSpPr>
      <xdr:pic>
        <xdr:nvPic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1762125" cy="762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7</xdr:col>
      <xdr:colOff>657225</xdr:colOff>
      <xdr:row>0</xdr:row>
      <xdr:rowOff>38100</xdr:rowOff>
    </xdr:from>
    <xdr:ext cx="1885950" cy="1647825"/>
    <xdr:grpSp>
      <xdr:nvGrpSpPr>
        <xdr:cNvPr id="4" name="Shape 2" title="Рисунок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982075" y="38100"/>
          <a:ext cx="1885950" cy="1647825"/>
          <a:chOff x="152400" y="152400"/>
          <a:chExt cx="2263775" cy="1980800"/>
        </a:xfrm>
      </xdr:grpSpPr>
      <xdr:pic>
        <xdr:nvPicPr>
          <xdr:cNvPr id="5" name="Shap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">
            <a:alphaModFix/>
          </a:blip>
          <a:stretch>
            <a:fillRect/>
          </a:stretch>
        </xdr:blipFill>
        <xdr:spPr>
          <a:xfrm>
            <a:off x="152400" y="152400"/>
            <a:ext cx="2263775" cy="19808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2581275</xdr:colOff>
      <xdr:row>36</xdr:row>
      <xdr:rowOff>19050</xdr:rowOff>
    </xdr:from>
    <xdr:ext cx="2143125" cy="257175"/>
    <xdr:grpSp>
      <xdr:nvGrpSpPr>
        <xdr:cNvPr id="6" name="Shape 2" title="Рисунок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2619375" y="8382000"/>
          <a:ext cx="2143125" cy="257175"/>
          <a:chOff x="152400" y="152400"/>
          <a:chExt cx="876905" cy="280049"/>
        </a:xfrm>
      </xdr:grpSpPr>
      <xdr:pic>
        <xdr:nvPicPr>
          <xdr:cNvPr id="7" name="Shape 5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3">
            <a:alphaModFix/>
          </a:blip>
          <a:stretch>
            <a:fillRect/>
          </a:stretch>
        </xdr:blipFill>
        <xdr:spPr>
          <a:xfrm>
            <a:off x="152400" y="152400"/>
            <a:ext cx="876905" cy="280049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3905250</xdr:colOff>
      <xdr:row>135</xdr:row>
      <xdr:rowOff>304800</xdr:rowOff>
    </xdr:from>
    <xdr:ext cx="819150" cy="314325"/>
    <xdr:grpSp>
      <xdr:nvGrpSpPr>
        <xdr:cNvPr id="8" name="Shape 2" title="Рисунок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3943350" y="30689550"/>
          <a:ext cx="819150" cy="314325"/>
          <a:chOff x="740275" y="2162425"/>
          <a:chExt cx="3506625" cy="1291500"/>
        </a:xfrm>
      </xdr:grpSpPr>
      <xdr:pic>
        <xdr:nvPicPr>
          <xdr:cNvPr id="9" name="Shape 6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4">
            <a:alphaModFix/>
          </a:blip>
          <a:srcRect l="10283" t="35170" r="10124" b="35513"/>
          <a:stretch/>
        </xdr:blipFill>
        <xdr:spPr>
          <a:xfrm>
            <a:off x="740275" y="2162425"/>
            <a:ext cx="3506625" cy="1291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4210050</xdr:colOff>
      <xdr:row>82</xdr:row>
      <xdr:rowOff>200025</xdr:rowOff>
    </xdr:from>
    <xdr:ext cx="514350" cy="514350"/>
    <xdr:pic>
      <xdr:nvPicPr>
        <xdr:cNvPr id="10" name="image2.jpg" title="Изображени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3648075</xdr:colOff>
      <xdr:row>13</xdr:row>
      <xdr:rowOff>19050</xdr:rowOff>
    </xdr:from>
    <xdr:ext cx="990600" cy="933450"/>
    <xdr:pic>
      <xdr:nvPicPr>
        <xdr:cNvPr id="11" name="image3.png" title="Изображение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3600450</xdr:colOff>
      <xdr:row>116</xdr:row>
      <xdr:rowOff>104775</xdr:rowOff>
    </xdr:from>
    <xdr:ext cx="990600" cy="457200"/>
    <xdr:pic>
      <xdr:nvPicPr>
        <xdr:cNvPr id="12" name="image1.png" title="Изображение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1</xdr:row>
      <xdr:rowOff>38100</xdr:rowOff>
    </xdr:from>
    <xdr:ext cx="2419350" cy="1057275"/>
    <xdr:grpSp>
      <xdr:nvGrpSpPr>
        <xdr:cNvPr id="2" name="Shape 2" title="Рисунок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400" y="152400"/>
          <a:ext cx="1762125" cy="762000"/>
          <a:chOff x="152400" y="152400"/>
          <a:chExt cx="1762125" cy="762000"/>
        </a:xfrm>
      </xdr:grpSpPr>
      <xdr:pic>
        <xdr:nvPic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1762125" cy="7620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2</xdr:col>
      <xdr:colOff>57150</xdr:colOff>
      <xdr:row>184</xdr:row>
      <xdr:rowOff>247650</xdr:rowOff>
    </xdr:from>
    <xdr:ext cx="361950" cy="314325"/>
    <xdr:grpSp>
      <xdr:nvGrpSpPr>
        <xdr:cNvPr id="4" name="Shape 2" title="Рисунок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2782375" y="1048550"/>
          <a:ext cx="525050" cy="529425"/>
          <a:chOff x="2782375" y="1048550"/>
          <a:chExt cx="525050" cy="529425"/>
        </a:xfrm>
      </xdr:grpSpPr>
      <xdr:pic>
        <xdr:nvPicPr>
          <xdr:cNvPr id="7" name="Shape 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2">
            <a:alphaModFix/>
          </a:blip>
          <a:stretch>
            <a:fillRect/>
          </a:stretch>
        </xdr:blipFill>
        <xdr:spPr>
          <a:xfrm>
            <a:off x="2782375" y="1048550"/>
            <a:ext cx="525050" cy="52942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3438525</xdr:colOff>
      <xdr:row>57</xdr:row>
      <xdr:rowOff>180975</xdr:rowOff>
    </xdr:from>
    <xdr:ext cx="809625" cy="304800"/>
    <xdr:grpSp>
      <xdr:nvGrpSpPr>
        <xdr:cNvPr id="5" name="Shape 2" title="Рисунок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/>
      </xdr:nvGrpSpPr>
      <xdr:grpSpPr>
        <a:xfrm>
          <a:off x="2162425" y="1870200"/>
          <a:ext cx="1480575" cy="549650"/>
          <a:chOff x="2162425" y="1870200"/>
          <a:chExt cx="1480575" cy="549650"/>
        </a:xfrm>
      </xdr:grpSpPr>
      <xdr:pic>
        <xdr:nvPicPr>
          <xdr:cNvPr id="8" name="Shape 8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>
            <a:alphaModFix/>
          </a:blip>
          <a:srcRect l="10111" t="35171" r="10460" b="35342"/>
          <a:stretch/>
        </xdr:blipFill>
        <xdr:spPr>
          <a:xfrm>
            <a:off x="2162425" y="1870200"/>
            <a:ext cx="1480575" cy="5496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7</xdr:col>
      <xdr:colOff>657225</xdr:colOff>
      <xdr:row>0</xdr:row>
      <xdr:rowOff>38100</xdr:rowOff>
    </xdr:from>
    <xdr:ext cx="1885950" cy="1647825"/>
    <xdr:grpSp>
      <xdr:nvGrpSpPr>
        <xdr:cNvPr id="6" name="Shape 2" title="Рисунок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52400" y="152400"/>
          <a:ext cx="2263775" cy="1980800"/>
          <a:chOff x="152400" y="152400"/>
          <a:chExt cx="2263775" cy="1980800"/>
        </a:xfrm>
      </xdr:grpSpPr>
      <xdr:pic>
        <xdr:nvPicPr>
          <xdr:cNvPr id="9" name="Shape 4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4">
            <a:alphaModFix/>
          </a:blip>
          <a:stretch>
            <a:fillRect/>
          </a:stretch>
        </xdr:blipFill>
        <xdr:spPr>
          <a:xfrm>
            <a:off x="152400" y="152400"/>
            <a:ext cx="2263775" cy="19808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3467100</xdr:colOff>
      <xdr:row>78</xdr:row>
      <xdr:rowOff>161925</xdr:rowOff>
    </xdr:from>
    <xdr:ext cx="819150" cy="314325"/>
    <xdr:grpSp>
      <xdr:nvGrpSpPr>
        <xdr:cNvPr id="10" name="Shape 2" title="Рисунок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750025" y="2162425"/>
          <a:ext cx="4509900" cy="1694850"/>
          <a:chOff x="750025" y="2162425"/>
          <a:chExt cx="4509900" cy="1694850"/>
        </a:xfrm>
      </xdr:grpSpPr>
      <xdr:pic>
        <xdr:nvPicPr>
          <xdr:cNvPr id="11" name="Shape 9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>
            <a:alphaModFix/>
          </a:blip>
          <a:srcRect l="10456" t="35170" r="10629" b="35173"/>
          <a:stretch/>
        </xdr:blipFill>
        <xdr:spPr>
          <a:xfrm>
            <a:off x="750025" y="2162425"/>
            <a:ext cx="4509900" cy="169485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3457575</xdr:colOff>
      <xdr:row>108</xdr:row>
      <xdr:rowOff>190500</xdr:rowOff>
    </xdr:from>
    <xdr:ext cx="828675" cy="304800"/>
    <xdr:grpSp>
      <xdr:nvGrpSpPr>
        <xdr:cNvPr id="12" name="Shape 2" title="Рисунок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/>
      </xdr:nvGrpSpPr>
      <xdr:grpSpPr>
        <a:xfrm>
          <a:off x="740275" y="2162425"/>
          <a:ext cx="3506625" cy="1291500"/>
          <a:chOff x="740275" y="2162425"/>
          <a:chExt cx="3506625" cy="1291500"/>
        </a:xfrm>
      </xdr:grpSpPr>
      <xdr:pic>
        <xdr:nvPicPr>
          <xdr:cNvPr id="13" name="Shape 10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>
            <a:alphaModFix/>
          </a:blip>
          <a:srcRect l="10283" t="35170" r="10124" b="35513"/>
          <a:stretch/>
        </xdr:blipFill>
        <xdr:spPr>
          <a:xfrm>
            <a:off x="740275" y="2162425"/>
            <a:ext cx="3506625" cy="1291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3362325</xdr:colOff>
      <xdr:row>34</xdr:row>
      <xdr:rowOff>257175</xdr:rowOff>
    </xdr:from>
    <xdr:ext cx="942975" cy="304800"/>
    <xdr:grpSp>
      <xdr:nvGrpSpPr>
        <xdr:cNvPr id="14" name="Shape 2" title="Рисунок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152400" y="152400"/>
          <a:ext cx="1131748" cy="361427"/>
          <a:chOff x="152400" y="152400"/>
          <a:chExt cx="1131748" cy="361427"/>
        </a:xfrm>
      </xdr:grpSpPr>
      <xdr:pic>
        <xdr:nvPicPr>
          <xdr:cNvPr id="15" name="Shape 11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5">
            <a:alphaModFix/>
          </a:blip>
          <a:stretch>
            <a:fillRect/>
          </a:stretch>
        </xdr:blipFill>
        <xdr:spPr>
          <a:xfrm>
            <a:off x="152400" y="152400"/>
            <a:ext cx="1131748" cy="361427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3524250</xdr:colOff>
      <xdr:row>342</xdr:row>
      <xdr:rowOff>133350</xdr:rowOff>
    </xdr:from>
    <xdr:ext cx="1190625" cy="238125"/>
    <xdr:grpSp>
      <xdr:nvGrpSpPr>
        <xdr:cNvPr id="16" name="Shape 2" title="Рисунок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52400" y="152400"/>
          <a:ext cx="876905" cy="280049"/>
          <a:chOff x="152400" y="152400"/>
          <a:chExt cx="876905" cy="280049"/>
        </a:xfrm>
      </xdr:grpSpPr>
      <xdr:pic>
        <xdr:nvPicPr>
          <xdr:cNvPr id="17" name="Shape 5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5">
            <a:alphaModFix/>
          </a:blip>
          <a:stretch>
            <a:fillRect/>
          </a:stretch>
        </xdr:blipFill>
        <xdr:spPr>
          <a:xfrm>
            <a:off x="152400" y="152400"/>
            <a:ext cx="876905" cy="280049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3400425</xdr:colOff>
      <xdr:row>97</xdr:row>
      <xdr:rowOff>57150</xdr:rowOff>
    </xdr:from>
    <xdr:ext cx="819150" cy="314325"/>
    <xdr:grpSp>
      <xdr:nvGrpSpPr>
        <xdr:cNvPr id="18" name="Shape 2" title="Рисунок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740275" y="2162425"/>
          <a:ext cx="3506625" cy="1291500"/>
          <a:chOff x="740275" y="2162425"/>
          <a:chExt cx="3506625" cy="1291500"/>
        </a:xfrm>
      </xdr:grpSpPr>
      <xdr:pic>
        <xdr:nvPicPr>
          <xdr:cNvPr id="19" name="Shape 6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>
            <a:alphaModFix/>
          </a:blip>
          <a:srcRect l="10283" t="35170" r="10124" b="35513"/>
          <a:stretch/>
        </xdr:blipFill>
        <xdr:spPr>
          <a:xfrm>
            <a:off x="740275" y="2162425"/>
            <a:ext cx="3506625" cy="1291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3448050</xdr:colOff>
      <xdr:row>319</xdr:row>
      <xdr:rowOff>152400</xdr:rowOff>
    </xdr:from>
    <xdr:ext cx="828675" cy="304800"/>
    <xdr:grpSp>
      <xdr:nvGrpSpPr>
        <xdr:cNvPr id="20" name="Shape 2" title="Рисунок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740275" y="2162425"/>
          <a:ext cx="3506625" cy="1291500"/>
          <a:chOff x="740275" y="2162425"/>
          <a:chExt cx="3506625" cy="1291500"/>
        </a:xfrm>
      </xdr:grpSpPr>
      <xdr:pic>
        <xdr:nvPicPr>
          <xdr:cNvPr id="21" name="Shape 12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3">
            <a:alphaModFix/>
          </a:blip>
          <a:srcRect l="10283" t="35170" r="10124" b="35513"/>
          <a:stretch/>
        </xdr:blipFill>
        <xdr:spPr>
          <a:xfrm>
            <a:off x="740275" y="2162425"/>
            <a:ext cx="3506625" cy="1291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</xdr:col>
      <xdr:colOff>4714875</xdr:colOff>
      <xdr:row>217</xdr:row>
      <xdr:rowOff>66675</xdr:rowOff>
    </xdr:from>
    <xdr:ext cx="514350" cy="514350"/>
    <xdr:pic>
      <xdr:nvPicPr>
        <xdr:cNvPr id="22" name="image2.jpg" title="Изображение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54</xdr:row>
      <xdr:rowOff>28575</xdr:rowOff>
    </xdr:from>
    <xdr:ext cx="419100" cy="400050"/>
    <xdr:pic>
      <xdr:nvPicPr>
        <xdr:cNvPr id="23" name="image1.png" title="Изображение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re-moscow.ru/catalog/polufabrikaty/pelmeni/pelmeni_rybnye_s_treskoy_i_shpinatom_s_m_3_kg.html" TargetMode="External"/><Relationship Id="rId117" Type="http://schemas.openxmlformats.org/officeDocument/2006/relationships/hyperlink" Target="http://amare-moscow.ru/catalog/nabory_dlya_ukhi_premium/nabor_dlya_ukhi_premium_s_m_1kg_.html" TargetMode="External"/><Relationship Id="rId21" Type="http://schemas.openxmlformats.org/officeDocument/2006/relationships/hyperlink" Target="https://amare-moscow.ru/catalog/polufabrikaty/pelmeni/pelmeni_s_tuntsom_400_gr.html" TargetMode="External"/><Relationship Id="rId42" Type="http://schemas.openxmlformats.org/officeDocument/2006/relationships/hyperlink" Target="https://amare-moscow.ru/catalog/polufabrikaty/kotlety_morozhenye/kotlety_iz_treski_s_kalmarom_s_m_300_gr.html" TargetMode="External"/><Relationship Id="rId47" Type="http://schemas.openxmlformats.org/officeDocument/2006/relationships/hyperlink" Target="https://amare-moscow.ru/catalog/polufabrikaty/kotlety_morozhenye/kotlety_iz_treska_so_shpinatom_4_kg.html" TargetMode="External"/><Relationship Id="rId63" Type="http://schemas.openxmlformats.org/officeDocument/2006/relationships/hyperlink" Target="http://amare-moscow.ru/catalog/dlya_grilya_i_zapekaniya/shashlyk_iz_semgi_s_shampinonami.html" TargetMode="External"/><Relationship Id="rId68" Type="http://schemas.openxmlformats.org/officeDocument/2006/relationships/hyperlink" Target="http://amare-moscow.ru/catalog/dlya_grilya_i_zapekaniya/shashlyki_iz_moreproduktov/shashlyk_assorti_iz_ochishchennykh_krevetok_s_m_200gr.html" TargetMode="External"/><Relationship Id="rId84" Type="http://schemas.openxmlformats.org/officeDocument/2006/relationships/hyperlink" Target="http://amare-moscow.ru/catalog/dlya_grilya_i_zapekaniya/rulety_s_syrom/rulet_iz_nerki_s_paltusom_i_syrom_s_m_0_6kg_4sht.html" TargetMode="External"/><Relationship Id="rId89" Type="http://schemas.openxmlformats.org/officeDocument/2006/relationships/hyperlink" Target="http://amare-moscow.ru/catalog/gotovye_produkty/yaponskie_salaty/salat_iz_gribov_shiitake_i_rostkov_paporotnika_200g_1.html" TargetMode="External"/><Relationship Id="rId112" Type="http://schemas.openxmlformats.org/officeDocument/2006/relationships/hyperlink" Target="http://amare-moscow.ru/catalog/ryba/fasovannaya_ryba/paltus_tushka_s_m_v_u.html" TargetMode="External"/><Relationship Id="rId133" Type="http://schemas.openxmlformats.org/officeDocument/2006/relationships/hyperlink" Target="http://amare-moscow.ru/catalog/vodorosli/tosaka_vodorosli_50_gr.html" TargetMode="External"/><Relationship Id="rId138" Type="http://schemas.openxmlformats.org/officeDocument/2006/relationships/hyperlink" Target="http://amare-moscow.ru/catalog/vodorosli/spirulina_tabletki_50_gr.html" TargetMode="External"/><Relationship Id="rId154" Type="http://schemas.openxmlformats.org/officeDocument/2006/relationships/hyperlink" Target="http://amare-moscow.ru/catalog/ovoshchi_frukty_yagody_i_griby/sparzha_rezanaya_s_m_500gr.html" TargetMode="External"/><Relationship Id="rId159" Type="http://schemas.openxmlformats.org/officeDocument/2006/relationships/hyperlink" Target="http://amare-moscow.ru/catalog/ovoshchi_frukty_yagody_i_griby/chernika_sm_350gr.html" TargetMode="External"/><Relationship Id="rId16" Type="http://schemas.openxmlformats.org/officeDocument/2006/relationships/hyperlink" Target="https://amare-moscow.ru/catalog/polufabrikaty/pelmeni/pelmeni_s_krevetkami_400_gr.html" TargetMode="External"/><Relationship Id="rId107" Type="http://schemas.openxmlformats.org/officeDocument/2006/relationships/hyperlink" Target="http://amare-moscow.ru/catalog/moreprodukty_i_ekzotika/osminogi/osminog_vareno_morozhenyy_300_g.html" TargetMode="External"/><Relationship Id="rId11" Type="http://schemas.openxmlformats.org/officeDocument/2006/relationships/hyperlink" Target="https://amare-moscow.ru/catalog/polufabrikaty/medalony/medalony_iz_tuntsa_nerki_i_brokkoli_180_gr.html" TargetMode="External"/><Relationship Id="rId32" Type="http://schemas.openxmlformats.org/officeDocument/2006/relationships/hyperlink" Target="https://amare-moscow.ru/catalog/polufabrikaty/kotlety_morozhenye/kotlety_iz_kheka_s_m_300_gr.html" TargetMode="External"/><Relationship Id="rId37" Type="http://schemas.openxmlformats.org/officeDocument/2006/relationships/hyperlink" Target="https://amare-moscow.ru/catalog/polufabrikaty/kotlety_morozhenye/kotlety_iz_treski_so_shpinatom_s_m_300_gr.html" TargetMode="External"/><Relationship Id="rId53" Type="http://schemas.openxmlformats.org/officeDocument/2006/relationships/hyperlink" Target="http://amare-moscow.ru/catalog/dlya_grilya_i_zapekaniya/kizhuch_steyk_s_limonom_i_rozmarinom_.html" TargetMode="External"/><Relationship Id="rId58" Type="http://schemas.openxmlformats.org/officeDocument/2006/relationships/hyperlink" Target="http://amare-moscow.ru/catalog/dlya_grilya_i_zapekaniya/kambala_v_olivkovom_masle_s_travami.html" TargetMode="External"/><Relationship Id="rId74" Type="http://schemas.openxmlformats.org/officeDocument/2006/relationships/hyperlink" Target="http://amare-moscow.ru/catalog/dlya_grilya_i_zapekaniya/shashlyki_iz_moreproduktov/shashlyk_iz_tuntsa_i_grebeshka_s_m_200gr.html" TargetMode="External"/><Relationship Id="rId79" Type="http://schemas.openxmlformats.org/officeDocument/2006/relationships/hyperlink" Target="https://amare-moscow.ru/catalog/dlya_grilya_i_zapekaniya/kolbaski/kolbaski_rybnye_iz_treski_s_semgoy_s_m.html" TargetMode="External"/><Relationship Id="rId102" Type="http://schemas.openxmlformats.org/officeDocument/2006/relationships/hyperlink" Target="http://amare-moscow.ru/catalog/moreprodukty_i_ekzotika/krevetki/krevetki_severnye_150_400gr.html" TargetMode="External"/><Relationship Id="rId123" Type="http://schemas.openxmlformats.org/officeDocument/2006/relationships/hyperlink" Target="http://amare-moscow.ru/catalog/moreprodukty_i_ekzotika/morskoy_kokteyl/morskoy_kokteyl_premium_0_5_kg.html" TargetMode="External"/><Relationship Id="rId128" Type="http://schemas.openxmlformats.org/officeDocument/2006/relationships/hyperlink" Target="http://amare-moscow.ru/catalog/vodorosli/vodorosli_morskie_sushenye_vakame_500gr.html" TargetMode="External"/><Relationship Id="rId144" Type="http://schemas.openxmlformats.org/officeDocument/2006/relationships/hyperlink" Target="http://amare-moscow.ru/catalog/moreprodukty_i_ekzotika/ulitki/ulitki_v_belom_souse_v_m.html" TargetMode="External"/><Relationship Id="rId149" Type="http://schemas.openxmlformats.org/officeDocument/2006/relationships/hyperlink" Target="http://amare-moscow.ru/catalog/ovoshchi_frukty_yagody_i_griby/goroshek_zelenyy_s_m_500gr.html" TargetMode="External"/><Relationship Id="rId5" Type="http://schemas.openxmlformats.org/officeDocument/2006/relationships/hyperlink" Target="https://amare-moscow.ru/catalog/polufabrikaty/medalony/medalony_iz_tuntsa_180_gr.html" TargetMode="External"/><Relationship Id="rId90" Type="http://schemas.openxmlformats.org/officeDocument/2006/relationships/hyperlink" Target="http://amare-moscow.ru/catalog/gotovye_produkty/yaponskie_salaty/salat_iz_meduzy_s_m_v_u_200_g.html" TargetMode="External"/><Relationship Id="rId95" Type="http://schemas.openxmlformats.org/officeDocument/2006/relationships/hyperlink" Target="http://amare-moscow.ru/catalog/moreprodukty_i_ekzotika/krevetki/krevetki_ochishchennye_kokteylnye_200_300_400_gr.html" TargetMode="External"/><Relationship Id="rId160" Type="http://schemas.openxmlformats.org/officeDocument/2006/relationships/hyperlink" Target="http://amare-moscow.ru/catalog/ovoshchi_frukty_yagody_i_griby/griby_shampinony_rezanye_s_m_500gr.html" TargetMode="External"/><Relationship Id="rId165" Type="http://schemas.openxmlformats.org/officeDocument/2006/relationships/hyperlink" Target="https://amare-moscow.ru/catalog/lakomstva_dlya_zhivotnykh/krekery_dlya_sobak_otrubi_morkov_40gr_kindpet.html" TargetMode="External"/><Relationship Id="rId22" Type="http://schemas.openxmlformats.org/officeDocument/2006/relationships/hyperlink" Target="https://amare-moscow.ru/catalog/polufabrikaty/pelmeni/pelmeni_so_shchukoy_400_gr.html" TargetMode="External"/><Relationship Id="rId27" Type="http://schemas.openxmlformats.org/officeDocument/2006/relationships/hyperlink" Target="https://amare-moscow.ru/catalog/polufabrikaty/pelmeni/pelmeni_rybnye_so_shchukoy_s_m_3_kg.html" TargetMode="External"/><Relationship Id="rId43" Type="http://schemas.openxmlformats.org/officeDocument/2006/relationships/hyperlink" Target="https://amare-moscow.ru/catalog/polufabrikaty/kotlety_morozhenye/kotlety_iz_semgi_gorbushi_i_brokkoli_300_gr.html" TargetMode="External"/><Relationship Id="rId48" Type="http://schemas.openxmlformats.org/officeDocument/2006/relationships/hyperlink" Target="https://amare-moscow.ru/catalog/polufabrikaty/kotlety_morozhenye/kotlety_iz_tuntsa_panirovke_4_kg.html" TargetMode="External"/><Relationship Id="rId64" Type="http://schemas.openxmlformats.org/officeDocument/2006/relationships/hyperlink" Target="http://amare-moscow.ru/catalog/dlya_grilya_i_zapekaniya/shashlyki_iz_moreproduktov/shashlyk_iz_grebeshka_i_krevetki.html" TargetMode="External"/><Relationship Id="rId69" Type="http://schemas.openxmlformats.org/officeDocument/2006/relationships/hyperlink" Target="http://amare-moscow.ru/catalog/dlya_grilya_i_zapekaniya/shashlyki_iz_moreproduktov/shashlyk_iz_moreproduktov_morskoe_assorti_s_m_200g.html" TargetMode="External"/><Relationship Id="rId113" Type="http://schemas.openxmlformats.org/officeDocument/2006/relationships/hyperlink" Target="http://amare-moscow.ru/catalog/ryba/fasovannaya_ryba/skumbriya_n_r_s_m_v_u.html" TargetMode="External"/><Relationship Id="rId118" Type="http://schemas.openxmlformats.org/officeDocument/2006/relationships/hyperlink" Target="http://www.amare-moscow.ru/catalog/krevetki_dikie/krevetki_argentinskie_dikie_s_g_s_m_21_30_sht_v_kg_l2_ind_zam_don_kreveton_2_kg_6_sht_argentina/" TargetMode="External"/><Relationship Id="rId134" Type="http://schemas.openxmlformats.org/officeDocument/2006/relationships/hyperlink" Target="http://amare-moscow.ru/catalog/vodorosli/fukus_poroshok_100_gr.html" TargetMode="External"/><Relationship Id="rId139" Type="http://schemas.openxmlformats.org/officeDocument/2006/relationships/hyperlink" Target="http://amare-moscow.ru/catalog/vodorosli/khlorella_tabletki_50_gr.html" TargetMode="External"/><Relationship Id="rId80" Type="http://schemas.openxmlformats.org/officeDocument/2006/relationships/hyperlink" Target="http://amare-moscow.ru/catalog/dlya_grilya_i_zapekaniya/rulety_s_syrom/rulet_iz_foreli_s_syrom_sm_0_5_kg_4sht.html" TargetMode="External"/><Relationship Id="rId85" Type="http://schemas.openxmlformats.org/officeDocument/2006/relationships/hyperlink" Target="http://amare-moscow.ru/catalog/dlya_grilya_i_zapekaniya/rulety_s_syrom/rulet_iz_foreli_s_tuntsom_bobami_i_syrom_0_5kg_4sht.html" TargetMode="External"/><Relationship Id="rId150" Type="http://schemas.openxmlformats.org/officeDocument/2006/relationships/hyperlink" Target="http://amare-moscow.ru/catalog/ovoshchi_frukty_yagody_i_griby/kapusta_tsvetnaya_s_m_500gr.html" TargetMode="External"/><Relationship Id="rId155" Type="http://schemas.openxmlformats.org/officeDocument/2006/relationships/hyperlink" Target="http://amare-moscow.ru/catalog/ovoshchi_frukty_yagody_i_griby/tykva_kubik_s_m_500gr.html" TargetMode="External"/><Relationship Id="rId12" Type="http://schemas.openxmlformats.org/officeDocument/2006/relationships/hyperlink" Target="https://amare-moscow.ru/catalog/polufabrikaty/medalony/medalony_iz_tuntsa_treski_i_brokkoli_180_gr.html" TargetMode="External"/><Relationship Id="rId17" Type="http://schemas.openxmlformats.org/officeDocument/2006/relationships/hyperlink" Target="https://amare-moscow.ru/catalog/polufabrikaty/pelmeni/pelmeni_s_semgoy_400_gr.html" TargetMode="External"/><Relationship Id="rId33" Type="http://schemas.openxmlformats.org/officeDocument/2006/relationships/hyperlink" Target="https://amare-moscow.ru/catalog/polufabrikaty/kotlety_morozhenye/kotlety_iz_treski_s_m_300_gr.html" TargetMode="External"/><Relationship Id="rId38" Type="http://schemas.openxmlformats.org/officeDocument/2006/relationships/hyperlink" Target="https://amare-moscow.ru/catalog/polufabrikaty/kotlety_morozhenye/kotlety_iz_treski_s_gribami_s_m_300_gr.html" TargetMode="External"/><Relationship Id="rId59" Type="http://schemas.openxmlformats.org/officeDocument/2006/relationships/hyperlink" Target="http://amare-moscow.ru/catalog/dlya_grilya_i_zapekaniya/medalon_s_bobami_edamame_i_shampinonami.html" TargetMode="External"/><Relationship Id="rId103" Type="http://schemas.openxmlformats.org/officeDocument/2006/relationships/hyperlink" Target="http://amare-moscow.ru/catalog/moreprodukty_i_ekzotika/osminogi/karakatitsa_tselaya_ochishchennaya_300_gr.html" TargetMode="External"/><Relationship Id="rId108" Type="http://schemas.openxmlformats.org/officeDocument/2006/relationships/hyperlink" Target="http://amare-moscow.ru/catalog/ryba/fasovannaya_ryba/barabulka_s_m_v_u.html" TargetMode="External"/><Relationship Id="rId124" Type="http://schemas.openxmlformats.org/officeDocument/2006/relationships/hyperlink" Target="http://amare-moscow.ru/catalog/moreprodukty_i_ekzotika/osminogi/osminog_s_m_1_2_kg_.html" TargetMode="External"/><Relationship Id="rId129" Type="http://schemas.openxmlformats.org/officeDocument/2006/relationships/hyperlink" Target="http://amare-moscow.ru/catalog/vodorosli/kombu_vodorosli_200_gr.html" TargetMode="External"/><Relationship Id="rId54" Type="http://schemas.openxmlformats.org/officeDocument/2006/relationships/hyperlink" Target="http://amare-moscow.ru/catalog/dlya_grilya_i_zapekaniya/dorada_v_olivkovom_masle_s_travami.html" TargetMode="External"/><Relationship Id="rId70" Type="http://schemas.openxmlformats.org/officeDocument/2006/relationships/hyperlink" Target="http://amare-moscow.ru/catalog/dlya_grilya_i_zapekaniya/shashlyki_iz_moreproduktov/shashlyk_iz_semgi_i_tuntsa_s_m_200gr.html" TargetMode="External"/><Relationship Id="rId75" Type="http://schemas.openxmlformats.org/officeDocument/2006/relationships/hyperlink" Target="https://amare-moscow.ru/catalog/dlya_grilya_i_zapekaniya/shashlyk_iz_kalmara.html" TargetMode="External"/><Relationship Id="rId91" Type="http://schemas.openxmlformats.org/officeDocument/2006/relationships/hyperlink" Target="http://amare-moscow.ru/catalog/gotovye_produkty/ryba_v_zhele_i_preservy/" TargetMode="External"/><Relationship Id="rId96" Type="http://schemas.openxmlformats.org/officeDocument/2006/relationships/hyperlink" Target="http://amare-moscow.ru/catalog/moreprodukty_i_ekzotika/krevetki/krevetki_argentinskie_bez_golovy_up_300_gr.html" TargetMode="External"/><Relationship Id="rId140" Type="http://schemas.openxmlformats.org/officeDocument/2006/relationships/hyperlink" Target="http://amare-moscow.ru/catalog/vodorosli/khlorella_poroshok_50_gr.html" TargetMode="External"/><Relationship Id="rId145" Type="http://schemas.openxmlformats.org/officeDocument/2006/relationships/hyperlink" Target="http://amare-moscow.ru/catalog/moreprodukty_i_ekzotika/ulitki/ulitki_v_gorchichnom_souse_pikantnyy_v_m_.html" TargetMode="External"/><Relationship Id="rId161" Type="http://schemas.openxmlformats.org/officeDocument/2006/relationships/hyperlink" Target="https://amare-moscow.ru/catalog/lakomstva_dlya_zhivotnykh/lakomstvo_dlya_sobak_iz_kozhi_treski_40g_kindpet.html" TargetMode="External"/><Relationship Id="rId166" Type="http://schemas.openxmlformats.org/officeDocument/2006/relationships/drawing" Target="../drawings/drawing1.xml"/><Relationship Id="rId1" Type="http://schemas.openxmlformats.org/officeDocument/2006/relationships/hyperlink" Target="http://www.amare-moscow.ru/" TargetMode="External"/><Relationship Id="rId6" Type="http://schemas.openxmlformats.org/officeDocument/2006/relationships/hyperlink" Target="https://amare-moscow.ru/catalog/polufabrikaty/medalony/" TargetMode="External"/><Relationship Id="rId15" Type="http://schemas.openxmlformats.org/officeDocument/2006/relationships/hyperlink" Target="https://amare-moscow.ru/catalog/polufabrikaty/pelmeni/pelmeni_s_gorbushey_400_gr.html" TargetMode="External"/><Relationship Id="rId23" Type="http://schemas.openxmlformats.org/officeDocument/2006/relationships/hyperlink" Target="https://amare-moscow.ru/catalog/polufabrikaty/pelmeni/pelmeni_rybnye_s_tuntsom_s_m_3_kg.html" TargetMode="External"/><Relationship Id="rId28" Type="http://schemas.openxmlformats.org/officeDocument/2006/relationships/hyperlink" Target="https://amare-moscow.ru/catalog/polufabrikaty/kotlety_morozhenye/" TargetMode="External"/><Relationship Id="rId36" Type="http://schemas.openxmlformats.org/officeDocument/2006/relationships/hyperlink" Target="https://amare-moscow.ru/catalog/polufabrikaty/kotlety_morozhenye/kotlety_iz_treski_s_krevetkoy_s_m_300_gr.html" TargetMode="External"/><Relationship Id="rId49" Type="http://schemas.openxmlformats.org/officeDocument/2006/relationships/hyperlink" Target="https://amare-moscow.ru/catalog/polufabrikaty/kotlety_morozhenye/kotlety_treskovye_s_m_4_kg.html" TargetMode="External"/><Relationship Id="rId57" Type="http://schemas.openxmlformats.org/officeDocument/2006/relationships/hyperlink" Target="http://amare-moscow.ru/catalog/dlya_grilya_i_zapekaniya/treska_v_olivkovom_masle_s_travami.html" TargetMode="External"/><Relationship Id="rId106" Type="http://schemas.openxmlformats.org/officeDocument/2006/relationships/hyperlink" Target="http://amare-moscow.ru/catalog/moreprodukty_i_ekzotika/osminogi/osminog_shchupaltsa_150gr.html" TargetMode="External"/><Relationship Id="rId114" Type="http://schemas.openxmlformats.org/officeDocument/2006/relationships/hyperlink" Target="http://amare-moscow.ru/catalog/ryba/fasovannaya_ryba/forel_raduzhnaya_450gr.html" TargetMode="External"/><Relationship Id="rId119" Type="http://schemas.openxmlformats.org/officeDocument/2006/relationships/hyperlink" Target="http://www.amare-moscow.ru/catalog/krevetki_dikie/krevetki_argentinskie_dikie_s_g_s_m_21_30_sht_v_kg_l2_ind_zam_don_kreveton_2_kg_6_sht_argentina/" TargetMode="External"/><Relationship Id="rId127" Type="http://schemas.openxmlformats.org/officeDocument/2006/relationships/hyperlink" Target="http://amare-moscow.ru/catalog/vodorosli/vodorosli_morskie_vakame_sushenye_50gr.html" TargetMode="External"/><Relationship Id="rId10" Type="http://schemas.openxmlformats.org/officeDocument/2006/relationships/hyperlink" Target="http://amare-moscow.ru/catalog/polufabrkaty/medalony/medalony_iz_tuntsa_180_gr.html" TargetMode="External"/><Relationship Id="rId31" Type="http://schemas.openxmlformats.org/officeDocument/2006/relationships/hyperlink" Target="https://amare-moscow.ru/catalog/polufabrikaty/kotlety_morozhenye/kotlety_iz_sudaka_s_m_300_gr.html" TargetMode="External"/><Relationship Id="rId44" Type="http://schemas.openxmlformats.org/officeDocument/2006/relationships/hyperlink" Target="https://amare-moscow.ru/catalog/polufabrikaty/kotlety_morozhenye/kotlety_rybnye_iz_shchuki_4_kg.html" TargetMode="External"/><Relationship Id="rId52" Type="http://schemas.openxmlformats.org/officeDocument/2006/relationships/hyperlink" Target="http://amare-moscow.ru/catalog/dlya_grilya_i_zapekaniya/" TargetMode="External"/><Relationship Id="rId60" Type="http://schemas.openxmlformats.org/officeDocument/2006/relationships/hyperlink" Target="http://amare-moscow.ru/catalog/dlya_grilya_i_zapekaniya/nerka_file_babochka_100gr.html" TargetMode="External"/><Relationship Id="rId65" Type="http://schemas.openxmlformats.org/officeDocument/2006/relationships/hyperlink" Target="http://amare-moscow.ru/catalog/dlya_grilya_i_zapekaniya/shashlyki_iz_moreproduktov/shashlyk_iz_grebeshka_v_bekone_s_m_200gr.html" TargetMode="External"/><Relationship Id="rId73" Type="http://schemas.openxmlformats.org/officeDocument/2006/relationships/hyperlink" Target="http://amare-moscow.ru/catalog/dlya_grilya_i_zapekaniya/shashlyki_iz_moreproduktov/shashlyk_iz_semgi_i_krevetki_200gr.html" TargetMode="External"/><Relationship Id="rId78" Type="http://schemas.openxmlformats.org/officeDocument/2006/relationships/hyperlink" Target="https://amare-moscow.ru/catalog/dlya_grilya_i_zapekaniya/kolbaski/kolbaski_rybnye_iz_tuntsa_krevetki_i_syra_s_m.html" TargetMode="External"/><Relationship Id="rId81" Type="http://schemas.openxmlformats.org/officeDocument/2006/relationships/hyperlink" Target="http://amare-moscow.ru/catalog/dlya_grilya_i_zapekaniya/rulety_s_syrom/rulet_iz_gorbushi_s_syroi_shpinatom_sm_0_5_kg_4sht.html" TargetMode="External"/><Relationship Id="rId86" Type="http://schemas.openxmlformats.org/officeDocument/2006/relationships/hyperlink" Target="http://amare-moscow.ru/catalog/dlya_grilya_i_zapekaniya/rulety_s_syrom/rulet_iz_tuntsa_so_sparzhey_i_syrom_sm_0_5_kg_4sht.html" TargetMode="External"/><Relationship Id="rId94" Type="http://schemas.openxmlformats.org/officeDocument/2006/relationships/hyperlink" Target="http://amare-moscow.ru/catalog/moreprodukty_i_ekzotika/grebeshok/grebeshok_morskoy_file_300_gr.html" TargetMode="External"/><Relationship Id="rId99" Type="http://schemas.openxmlformats.org/officeDocument/2006/relationships/hyperlink" Target="http://amare-moscow.ru/catalog/moreprodukty_i_ekzotika/krevetki/krevetki_korolevskie_ochishchennye_s_khvostikom_300_gr.html" TargetMode="External"/><Relationship Id="rId101" Type="http://schemas.openxmlformats.org/officeDocument/2006/relationships/hyperlink" Target="http://amare-moscow.ru/catalog/moreprodukty_i_ekzotika/krevetki/krevetki_severnye_90_400gr.html" TargetMode="External"/><Relationship Id="rId122" Type="http://schemas.openxmlformats.org/officeDocument/2006/relationships/hyperlink" Target="http://amare-moscow.ru/catalog/moreprodukty_i_ekzotika/morskoy_kokteyl/morskoy_kokteyl_premium_0_5_kg.html" TargetMode="External"/><Relationship Id="rId130" Type="http://schemas.openxmlformats.org/officeDocument/2006/relationships/hyperlink" Target="http://amare-moscow.ru/catalog/vodorosli/morskie_vodorosli_kombu_vegangrad_1kg_kitay.html" TargetMode="External"/><Relationship Id="rId135" Type="http://schemas.openxmlformats.org/officeDocument/2006/relationships/hyperlink" Target="http://amare-moscow.ru/catalog/vodorosli/fukus_sushenyy_sloevishcha_100_gr.html" TargetMode="External"/><Relationship Id="rId143" Type="http://schemas.openxmlformats.org/officeDocument/2006/relationships/hyperlink" Target="http://www.amare-moscow.ru/catalog/supovye_nabory_rybnye/losos_supovoy_nabor_s_m_v_u_premium_don_kreveton_ves_rossiya/" TargetMode="External"/><Relationship Id="rId148" Type="http://schemas.openxmlformats.org/officeDocument/2006/relationships/hyperlink" Target="http://amare-moscow.ru/catalog/moreprodukty_i_ekzotika/ulitki/ulitki_s_zharenym_arakhisom_po_somerski_v_m.html" TargetMode="External"/><Relationship Id="rId151" Type="http://schemas.openxmlformats.org/officeDocument/2006/relationships/hyperlink" Target="http://amare-moscow.ru/catalog/ovoshchi_frukty_yagody_i_griby/kapusta_brokkoli_bystrozamorozhennaya_500gr.html" TargetMode="External"/><Relationship Id="rId156" Type="http://schemas.openxmlformats.org/officeDocument/2006/relationships/hyperlink" Target="http://amare-moscow.ru/catalog/ovoshchi_frukty_yagody_i_griby/fasol_struchkovaya_zel_s_m_0_5_kg.html" TargetMode="External"/><Relationship Id="rId164" Type="http://schemas.openxmlformats.org/officeDocument/2006/relationships/hyperlink" Target="https://amare-moscow.ru/catalog/lakomstva_dlya_zhivotnykh/krekery_dlya_sobak_otrubi_laminariya_40g_kindpet.html" TargetMode="External"/><Relationship Id="rId4" Type="http://schemas.openxmlformats.org/officeDocument/2006/relationships/hyperlink" Target="https://amare-moscow.ru/catalog/polufabrikaty/kotlety_morozhenye/kotlety_iz_morskoy_kapusty_so_shpinatom_300gr.html" TargetMode="External"/><Relationship Id="rId9" Type="http://schemas.openxmlformats.org/officeDocument/2006/relationships/hyperlink" Target="https://amare-moscow.ru/catalog/polufabrikaty/medalony/medalony_iz_semgi_i_brokkoli_180_gr.html" TargetMode="External"/><Relationship Id="rId13" Type="http://schemas.openxmlformats.org/officeDocument/2006/relationships/hyperlink" Target="https://amare-moscow.ru/catalog/polufabrikaty/medalony/medalony_rybnye_iz_kheka_peruanskogo_5_kg.html" TargetMode="External"/><Relationship Id="rId18" Type="http://schemas.openxmlformats.org/officeDocument/2006/relationships/hyperlink" Target="https://amare-moscow.ru/catalog/polufabrikaty/pelmeni/pelmeni_s_sudakom_400_gr.html" TargetMode="External"/><Relationship Id="rId39" Type="http://schemas.openxmlformats.org/officeDocument/2006/relationships/hyperlink" Target="https://amare-moscow.ru/catalog/polufabrikaty/kotlety_morozhenye/kotlety_iz_tuntsa_s_m_300_gr.html" TargetMode="External"/><Relationship Id="rId109" Type="http://schemas.openxmlformats.org/officeDocument/2006/relationships/hyperlink" Target="http://amare-moscow.ru/catalog/ryba/fasovannaya_ryba/mintay_.html" TargetMode="External"/><Relationship Id="rId34" Type="http://schemas.openxmlformats.org/officeDocument/2006/relationships/hyperlink" Target="https://amare-moscow.ru/catalog/polufabrikaty/kotlety_morozhenye/kotlety_iz_treski_i_morskoy_kapusty_300_gr.html" TargetMode="External"/><Relationship Id="rId50" Type="http://schemas.openxmlformats.org/officeDocument/2006/relationships/hyperlink" Target="https://amare-moscow.ru/catalog/polufabrikaty/kotlety_morozhenye/kotlety_iz_kalmara_v_panirovke_s_m_300_gr.html" TargetMode="External"/><Relationship Id="rId55" Type="http://schemas.openxmlformats.org/officeDocument/2006/relationships/hyperlink" Target="http://amare-moscow.ru/catalog/dlya_grilya_i_zapekaniya/sibas_v_olivkovom_masle_s_travami.html" TargetMode="External"/><Relationship Id="rId76" Type="http://schemas.openxmlformats.org/officeDocument/2006/relationships/hyperlink" Target="https://amare-moscow.ru/catalog/dlya_grilya_i_zapekaniya/kalmar_farshirovannyy.html" TargetMode="External"/><Relationship Id="rId97" Type="http://schemas.openxmlformats.org/officeDocument/2006/relationships/hyperlink" Target="http://amare-moscow.ru/catalog/moreprodukty_i_ekzotika/krevetki/krevetki_argentinskie_ochishchennye_morozhenye_300_gr.html" TargetMode="External"/><Relationship Id="rId104" Type="http://schemas.openxmlformats.org/officeDocument/2006/relationships/hyperlink" Target="http://amare-moscow.ru/catalog/moreprodukty_i_ekzotika/midii/myaso_midiy_varyeno_morozhenoe_400_gr.html" TargetMode="External"/><Relationship Id="rId120" Type="http://schemas.openxmlformats.org/officeDocument/2006/relationships/hyperlink" Target="http://www.amare-moscow.ru/catalog/midii/midii_v_1_2_rakovine_v_m_40_60_sht_v_kg_don_kreveton_1kg_10sht_chili/" TargetMode="External"/><Relationship Id="rId125" Type="http://schemas.openxmlformats.org/officeDocument/2006/relationships/hyperlink" Target="http://amare-moscow.ru/catalog/moreprodukty_i_ekzotika/osminogi/osminog_s_m_1_2_kg_.html" TargetMode="External"/><Relationship Id="rId141" Type="http://schemas.openxmlformats.org/officeDocument/2006/relationships/hyperlink" Target="http://www.amare-moscow.ru/catalog/1_tunets/tunets_zhp_file_saku_aaa_s_m_0_5_kg_v_u_don_kreveton_10_kg_kitay/" TargetMode="External"/><Relationship Id="rId146" Type="http://schemas.openxmlformats.org/officeDocument/2006/relationships/hyperlink" Target="http://amare-moscow.ru/catalog/moreprodukty_i_ekzotika/ulitki/ulitki_v_orekhovom_souse_po_limuzinski_v_m.html" TargetMode="External"/><Relationship Id="rId7" Type="http://schemas.openxmlformats.org/officeDocument/2006/relationships/hyperlink" Target="https://amare-moscow.ru/catalog/polufabrikaty/medalony/medalony_iz_kety_i_treski_180_gr.html" TargetMode="External"/><Relationship Id="rId71" Type="http://schemas.openxmlformats.org/officeDocument/2006/relationships/hyperlink" Target="http://amare-moscow.ru/catalog/dlya_grilya_i_zapekaniya/shashlyki_iz_moreproduktov/shashlyk_iz_semgi_i_grebeshka_200gr.html" TargetMode="External"/><Relationship Id="rId92" Type="http://schemas.openxmlformats.org/officeDocument/2006/relationships/hyperlink" Target="http://amare-moscow.ru/catalog/gotovye_produkty/ryba_v_zhele_i_preservy/riet_iz_gorbushi_s_mindalem_100_gr.html" TargetMode="External"/><Relationship Id="rId162" Type="http://schemas.openxmlformats.org/officeDocument/2006/relationships/hyperlink" Target="https://amare-moscow.ru/catalog/lakomstva_dlya_zhivotnykh/lakomstvo_dlya_sobak_s_laminariey_40g_kindpet.html" TargetMode="External"/><Relationship Id="rId2" Type="http://schemas.openxmlformats.org/officeDocument/2006/relationships/hyperlink" Target="http://www.kreveton.ru/" TargetMode="External"/><Relationship Id="rId29" Type="http://schemas.openxmlformats.org/officeDocument/2006/relationships/hyperlink" Target="https://amare-moscow.ru/catalog/polufabrikaty/kotlety_morozhenye/kotlety_iz_kalmara_v_panirovke_s_m_300_gr.html" TargetMode="External"/><Relationship Id="rId24" Type="http://schemas.openxmlformats.org/officeDocument/2006/relationships/hyperlink" Target="https://amare-moscow.ru/catalog/polufabrikaty/pelmeni/pelmeni_rybnye_s_gorbushey_s_m_3_kg.html" TargetMode="External"/><Relationship Id="rId40" Type="http://schemas.openxmlformats.org/officeDocument/2006/relationships/hyperlink" Target="https://amare-moscow.ru/catalog/polufabrikaty/kotlety_morozhenye/kotlety_iz_tuntsa_zheltoperogo_so_shpinatom_300_gr.html" TargetMode="External"/><Relationship Id="rId45" Type="http://schemas.openxmlformats.org/officeDocument/2006/relationships/hyperlink" Target="https://amare-moscow.ru/catalog/polufabrikaty/kotlety_morozhenye/kotlety_iz_lososya_4_kg.html" TargetMode="External"/><Relationship Id="rId66" Type="http://schemas.openxmlformats.org/officeDocument/2006/relationships/hyperlink" Target="http://amare-moscow.ru/catalog/dlya_grilya_i_zapekaniya/shashlyki_iz_moreproduktov/shashlyk_assorti_iz_krevetok_v_pantsire_300gr.html" TargetMode="External"/><Relationship Id="rId87" Type="http://schemas.openxmlformats.org/officeDocument/2006/relationships/hyperlink" Target="http://amare-moscow.ru/catalog/gotovye_produkty/yaponskie_salaty/" TargetMode="External"/><Relationship Id="rId110" Type="http://schemas.openxmlformats.org/officeDocument/2006/relationships/hyperlink" Target="http://amare-moscow.ru/catalog/ryba/fasovannaya_ryba/okun_morskoy_pbg_s_m_v_u.html" TargetMode="External"/><Relationship Id="rId115" Type="http://schemas.openxmlformats.org/officeDocument/2006/relationships/hyperlink" Target="http://amare-moscow.ru/catalog/ryba/fasovannaya_ryba/khek_pbg_sm_vu.html" TargetMode="External"/><Relationship Id="rId131" Type="http://schemas.openxmlformats.org/officeDocument/2006/relationships/hyperlink" Target="http://amare-moscow.ru/catalog/vodorosli/laminariya_dlya_obertyvaniy_500_gr.html" TargetMode="External"/><Relationship Id="rId136" Type="http://schemas.openxmlformats.org/officeDocument/2006/relationships/hyperlink" Target="http://amare-moscow.ru/catalog/vodorosli/fukus_droblenyy_100_gr.html" TargetMode="External"/><Relationship Id="rId157" Type="http://schemas.openxmlformats.org/officeDocument/2006/relationships/hyperlink" Target="http://amare-moscow.ru/catalog/ovoshchi_frukty_yagody_i_griby/brusnika_s_m_350gr.html" TargetMode="External"/><Relationship Id="rId61" Type="http://schemas.openxmlformats.org/officeDocument/2006/relationships/hyperlink" Target="http://amare-moscow.ru/catalog/dlya_grilya_i_zapekaniya/nerka_file_s_ovoshchami_170_gr.html" TargetMode="External"/><Relationship Id="rId82" Type="http://schemas.openxmlformats.org/officeDocument/2006/relationships/hyperlink" Target="http://amare-moscow.ru/catalog/dlya_grilya_i_zapekaniya/rulety_s_syrom/rulet_iz_gorbushi_s_zubatkoy_pestroy_i_syrom_s_m.html" TargetMode="External"/><Relationship Id="rId152" Type="http://schemas.openxmlformats.org/officeDocument/2006/relationships/hyperlink" Target="http://amare-moscow.ru/catalog/ovoshchi_frukty_yagody_i_griby/kartofel_kubik_s_m_500gr.html" TargetMode="External"/><Relationship Id="rId19" Type="http://schemas.openxmlformats.org/officeDocument/2006/relationships/hyperlink" Target="https://amare-moscow.ru/catalog/polufabrikaty/pelmeni/pelmeni_s_treskoy_i_kalmarom_400_gr.html" TargetMode="External"/><Relationship Id="rId14" Type="http://schemas.openxmlformats.org/officeDocument/2006/relationships/hyperlink" Target="https://amare-moscow.ru/catalog/polufabrikaty/pelmeni/" TargetMode="External"/><Relationship Id="rId30" Type="http://schemas.openxmlformats.org/officeDocument/2006/relationships/hyperlink" Target="https://amare-moscow.ru/catalog/polufabrikaty/kotlety_morozhenye/kotlety_iz_lososya_300_gr.html" TargetMode="External"/><Relationship Id="rId35" Type="http://schemas.openxmlformats.org/officeDocument/2006/relationships/hyperlink" Target="https://amare-moscow.ru/catalog/polufabrikaty/kotlety_morozhenye/kotlety_iz_treski_s_paltusom_s_m_300_gr.html" TargetMode="External"/><Relationship Id="rId56" Type="http://schemas.openxmlformats.org/officeDocument/2006/relationships/hyperlink" Target="http://amare-moscow.ru/catalog/dlya_grilya_i_zapekaniya/forel_raduzhnaya_v_olivkovom_masle_s_travami_.html" TargetMode="External"/><Relationship Id="rId77" Type="http://schemas.openxmlformats.org/officeDocument/2006/relationships/hyperlink" Target="https://amare-moscow.ru/catalog/dlya_grilya_i_zapekaniya/kolbaski/kolbaski_rybnye_iz_tuntsa_s_gribami_s_m.html" TargetMode="External"/><Relationship Id="rId100" Type="http://schemas.openxmlformats.org/officeDocument/2006/relationships/hyperlink" Target="http://amare-moscow.ru/catalog/moreprodukty_i_ekzotika/krevetki/krevetki_tigrovye_bez_golovy_morozhenye_300gr.html" TargetMode="External"/><Relationship Id="rId105" Type="http://schemas.openxmlformats.org/officeDocument/2006/relationships/hyperlink" Target="http://amare-moscow.ru/catalog/moreprodukty_i_ekzotika/osminogi/osminogi_molodye_tselye_ochishch_s_m_300gr.html" TargetMode="External"/><Relationship Id="rId126" Type="http://schemas.openxmlformats.org/officeDocument/2006/relationships/hyperlink" Target="http://amare-moscow.ru/catalog/moreprodukty_i_ekzotika/osminogi/osminog_s_m_2_3_kg.html" TargetMode="External"/><Relationship Id="rId147" Type="http://schemas.openxmlformats.org/officeDocument/2006/relationships/hyperlink" Target="http://amare-moscow.ru/catalog/moreprodukty_i_ekzotika/ulitki/ulitki_v_chesnochnom_souse_po_burgundski_v_m_.html" TargetMode="External"/><Relationship Id="rId8" Type="http://schemas.openxmlformats.org/officeDocument/2006/relationships/hyperlink" Target="https://amare-moscow.ru/catalog/polufabrikaty/medalony/medalony_iz_krevetki_i_gorbushi_180_gr.html" TargetMode="External"/><Relationship Id="rId51" Type="http://schemas.openxmlformats.org/officeDocument/2006/relationships/hyperlink" Target="https://amare-moscow.ru/catalog/polufabrikaty/kotlety_morozhenye/kotlety_iz_sudaka_s_m_300_gr.html" TargetMode="External"/><Relationship Id="rId72" Type="http://schemas.openxmlformats.org/officeDocument/2006/relationships/hyperlink" Target="http://amare-moscow.ru/catalog/dlya_grilya_i_zapekaniya/shashlyki_iz_moreproduktov/shashlyk_iz_semgi_s_m_200gr.html" TargetMode="External"/><Relationship Id="rId93" Type="http://schemas.openxmlformats.org/officeDocument/2006/relationships/hyperlink" Target="http://amare-moscow.ru/catalog/gotovye_produkty/ryba_v_zhele_i_preservy/forshmak_iz_seldi_180_gr.html" TargetMode="External"/><Relationship Id="rId98" Type="http://schemas.openxmlformats.org/officeDocument/2006/relationships/hyperlink" Target="http://amare-moscow.ru/catalog/moreprodukty_i_ekzotika/krevetki/krevetki_korolevskie_bez_golovy_300_gr.html" TargetMode="External"/><Relationship Id="rId121" Type="http://schemas.openxmlformats.org/officeDocument/2006/relationships/hyperlink" Target="http://www.amare-moscow.ru/catalog/midii/myaso_midiy_v_m_100_200_sht_v_kg_10_kg_chili/" TargetMode="External"/><Relationship Id="rId142" Type="http://schemas.openxmlformats.org/officeDocument/2006/relationships/hyperlink" Target="http://www.amare-moscow.ru/catalog/1_tunets/tunets_zhp_file_loin_s_m_2_kg_v_u_don_kreveton_25_kg_kitay/" TargetMode="External"/><Relationship Id="rId163" Type="http://schemas.openxmlformats.org/officeDocument/2006/relationships/hyperlink" Target="https://amare-moscow.ru/catalog/lakomstva_dlya_zhivotnykh/krekery_dlya_sobak_s_otrubyami_40gr_kindpet.html" TargetMode="External"/><Relationship Id="rId3" Type="http://schemas.openxmlformats.org/officeDocument/2006/relationships/hyperlink" Target="https://amare-moscow.ru/catalog/polufabrikaty/medalony/medalony_iz_tuntsa_180_gr.html" TargetMode="External"/><Relationship Id="rId25" Type="http://schemas.openxmlformats.org/officeDocument/2006/relationships/hyperlink" Target="https://amare-moscow.ru/catalog/polufabrikaty/pelmeni/pelmeni_rybnye_s_treskoy_i_kalmarom_s_m_3_kg.html" TargetMode="External"/><Relationship Id="rId46" Type="http://schemas.openxmlformats.org/officeDocument/2006/relationships/hyperlink" Target="https://amare-moscow.ru/catalog/polufabrikaty/kotlety_morozhenye/kotlety_iz_treski_s_kalmarom_4_kg.html" TargetMode="External"/><Relationship Id="rId67" Type="http://schemas.openxmlformats.org/officeDocument/2006/relationships/hyperlink" Target="http://amare-moscow.ru/catalog/dlya_grilya_i_zapekaniya/shashlyki_iz_moreproduktov/shashlyk_iz_krevetki_v_bekone_s_m_v_u_200gr.html" TargetMode="External"/><Relationship Id="rId116" Type="http://schemas.openxmlformats.org/officeDocument/2006/relationships/hyperlink" Target="http://amare-moscow.ru/catalog/nabory_dlya_ukhi_premium/nabor_dlya_ukhi_premium_s_ovoshchami_s_m_1kg.html" TargetMode="External"/><Relationship Id="rId137" Type="http://schemas.openxmlformats.org/officeDocument/2006/relationships/hyperlink" Target="http://amare-moscow.ru/catalog/vodorosli/spirulina_poroshok_50_gr.html" TargetMode="External"/><Relationship Id="rId158" Type="http://schemas.openxmlformats.org/officeDocument/2006/relationships/hyperlink" Target="http://amare-moscow.ru/catalog/ovoshchi_frukty_yagody_i_griby/klyukva_s_m_350gr.html" TargetMode="External"/><Relationship Id="rId20" Type="http://schemas.openxmlformats.org/officeDocument/2006/relationships/hyperlink" Target="https://amare-moscow.ru/catalog/polufabrikaty/pelmeni/pelmeni_s_treskoy_i_shpinatom_400_gr.html" TargetMode="External"/><Relationship Id="rId41" Type="http://schemas.openxmlformats.org/officeDocument/2006/relationships/hyperlink" Target="https://amare-moscow.ru/catalog/polufabrikaty/kotlety_morozhenye/kotlety_iz_shchuki_s_m_300_gr.html" TargetMode="External"/><Relationship Id="rId62" Type="http://schemas.openxmlformats.org/officeDocument/2006/relationships/hyperlink" Target="http://amare-moscow.ru/catalog/dlya_grilya_i_zapekaniya/krevetki_argentinskie_v_olivkovom_masle_s_travami.html" TargetMode="External"/><Relationship Id="rId83" Type="http://schemas.openxmlformats.org/officeDocument/2006/relationships/hyperlink" Target="http://amare-moscow.ru/catalog/dlya_grilya_i_zapekaniya/rulety_s_syrom/rulet_iz_paltusa_s_tuntsom_i_syrom_sm_0_6_kg_4sht.html" TargetMode="External"/><Relationship Id="rId88" Type="http://schemas.openxmlformats.org/officeDocument/2006/relationships/hyperlink" Target="http://amare-moscow.ru/catalog/gotovye_produkty/yaponskie_salaty/salat_iz_vodorosley_khidzhiki_s_m_v_u_200_g.html" TargetMode="External"/><Relationship Id="rId111" Type="http://schemas.openxmlformats.org/officeDocument/2006/relationships/hyperlink" Target="http://amare-moscow.ru/catalog/ryba/fasovannaya_ryba/omul_nerazdelannyy_s_m_v_u.html" TargetMode="External"/><Relationship Id="rId132" Type="http://schemas.openxmlformats.org/officeDocument/2006/relationships/hyperlink" Target="http://amare-moscow.ru/catalog/vodorosli/ulva_vodorosli_50_gr.html" TargetMode="External"/><Relationship Id="rId153" Type="http://schemas.openxmlformats.org/officeDocument/2006/relationships/hyperlink" Target="http://amare-moscow.ru/catalog/ovoshchi_frukty_yagody_i_griby/kartofel_kubik_s_m_500gr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prodlaif@gmail.com" TargetMode="External"/><Relationship Id="rId2" Type="http://schemas.openxmlformats.org/officeDocument/2006/relationships/hyperlink" Target="mailto:zubarevily80@yandex.ru" TargetMode="External"/><Relationship Id="rId1" Type="http://schemas.openxmlformats.org/officeDocument/2006/relationships/hyperlink" Target="http://www.amare-moscow.ru/" TargetMode="External"/><Relationship Id="rId5" Type="http://schemas.openxmlformats.org/officeDocument/2006/relationships/drawing" Target="../drawings/drawing2.xml"/><Relationship Id="rId4" Type="http://schemas.openxmlformats.org/officeDocument/2006/relationships/hyperlink" Target="http://www.amare-moscow.ru/catalog/supovye_nabory_rybnye/losos_supovoy_nabor_s_m_v_u_premium_don_kreveton_ves_rossiy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K1274"/>
  <sheetViews>
    <sheetView tabSelected="1" workbookViewId="0">
      <selection sqref="A1:K1"/>
    </sheetView>
  </sheetViews>
  <sheetFormatPr defaultColWidth="12.5703125" defaultRowHeight="15.75" customHeight="1"/>
  <cols>
    <col min="1" max="1" width="0.5703125" customWidth="1"/>
    <col min="2" max="2" width="64.5703125" customWidth="1"/>
    <col min="3" max="3" width="0.42578125" customWidth="1"/>
    <col min="4" max="4" width="13.28515625" customWidth="1"/>
    <col min="5" max="5" width="16.140625" customWidth="1"/>
    <col min="6" max="6" width="10.42578125" customWidth="1"/>
    <col min="7" max="7" width="24.42578125" customWidth="1"/>
    <col min="8" max="8" width="4.85546875" customWidth="1"/>
    <col min="9" max="9" width="22.140625" customWidth="1"/>
    <col min="10" max="10" width="6" customWidth="1"/>
    <col min="11" max="11" width="11.42578125" customWidth="1"/>
  </cols>
  <sheetData>
    <row r="1" spans="1:11" ht="23.25" customHeight="1">
      <c r="A1" s="439" t="s">
        <v>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</row>
    <row r="2" spans="1:11" ht="24" customHeight="1">
      <c r="A2" s="441" t="s">
        <v>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</row>
    <row r="3" spans="1:11" ht="15.75" customHeight="1">
      <c r="A3" s="442" t="s">
        <v>2</v>
      </c>
      <c r="B3" s="440"/>
      <c r="C3" s="440"/>
      <c r="D3" s="440"/>
      <c r="E3" s="440"/>
      <c r="F3" s="440"/>
      <c r="G3" s="440"/>
      <c r="H3" s="440"/>
      <c r="I3" s="440"/>
      <c r="J3" s="440"/>
      <c r="K3" s="440"/>
    </row>
    <row r="4" spans="1:11" ht="15.75" customHeight="1">
      <c r="A4" s="442" t="s">
        <v>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</row>
    <row r="5" spans="1:11" ht="20.25" customHeight="1">
      <c r="A5" s="439" t="s">
        <v>4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</row>
    <row r="6" spans="1:11" ht="24" customHeight="1">
      <c r="A6" s="441" t="str">
        <f>HYPERLINK("http://amare-moscow.ru/about/contacts/","8 (499) 350-40-21")</f>
        <v>8 (499) 350-40-21</v>
      </c>
      <c r="B6" s="440"/>
      <c r="C6" s="440"/>
      <c r="D6" s="440"/>
      <c r="E6" s="440"/>
      <c r="F6" s="440"/>
      <c r="G6" s="440"/>
      <c r="H6" s="440"/>
      <c r="I6" s="440"/>
      <c r="J6" s="440"/>
      <c r="K6" s="440"/>
    </row>
    <row r="7" spans="1:11" ht="27" customHeight="1">
      <c r="A7" s="443" t="s">
        <v>5</v>
      </c>
      <c r="B7" s="440"/>
      <c r="C7" s="440"/>
      <c r="D7" s="440"/>
      <c r="E7" s="440"/>
      <c r="F7" s="440"/>
      <c r="G7" s="440"/>
      <c r="H7" s="440"/>
      <c r="I7" s="440"/>
      <c r="J7" s="440"/>
      <c r="K7" s="440"/>
    </row>
    <row r="8" spans="1:11" ht="27" customHeight="1">
      <c r="A8" s="1"/>
      <c r="B8" s="444" t="s">
        <v>6</v>
      </c>
      <c r="C8" s="440"/>
      <c r="D8" s="440"/>
      <c r="E8" s="440"/>
      <c r="F8" s="440"/>
      <c r="G8" s="440"/>
      <c r="H8" s="440"/>
      <c r="I8" s="440"/>
      <c r="J8" s="440"/>
      <c r="K8" s="440"/>
    </row>
    <row r="9" spans="1:11" ht="27" customHeight="1">
      <c r="A9" s="1"/>
      <c r="B9" s="445" t="s">
        <v>7</v>
      </c>
      <c r="C9" s="440"/>
      <c r="D9" s="440"/>
      <c r="E9" s="440"/>
      <c r="F9" s="440"/>
      <c r="G9" s="440"/>
      <c r="H9" s="440"/>
      <c r="I9" s="440"/>
      <c r="J9" s="440"/>
      <c r="K9" s="440"/>
    </row>
    <row r="10" spans="1:11" ht="27.75" customHeight="1">
      <c r="A10" s="446" t="s">
        <v>8</v>
      </c>
      <c r="B10" s="447"/>
      <c r="C10" s="448"/>
      <c r="D10" s="452">
        <f ca="1">TODAY()</f>
        <v>44953</v>
      </c>
      <c r="E10" s="447"/>
      <c r="F10" s="447"/>
      <c r="G10" s="453" t="s">
        <v>9</v>
      </c>
      <c r="H10" s="448"/>
      <c r="I10" s="454" t="s">
        <v>10</v>
      </c>
      <c r="J10" s="455" t="s">
        <v>11</v>
      </c>
      <c r="K10" s="2" t="s">
        <v>12</v>
      </c>
    </row>
    <row r="11" spans="1:11" ht="15" customHeight="1">
      <c r="A11" s="449"/>
      <c r="B11" s="450"/>
      <c r="C11" s="451"/>
      <c r="D11" s="449"/>
      <c r="E11" s="450"/>
      <c r="F11" s="450"/>
      <c r="G11" s="449"/>
      <c r="H11" s="451"/>
      <c r="I11" s="451"/>
      <c r="J11" s="450"/>
      <c r="K11" s="2" t="e">
        <f>SUM(K30:K423)</f>
        <v>#VALUE!</v>
      </c>
    </row>
    <row r="12" spans="1:11" ht="15" customHeight="1">
      <c r="A12" s="3"/>
      <c r="B12" s="462" t="s">
        <v>13</v>
      </c>
      <c r="C12" s="457"/>
      <c r="D12" s="457"/>
      <c r="E12" s="457"/>
      <c r="F12" s="457"/>
      <c r="G12" s="457"/>
      <c r="H12" s="457"/>
      <c r="I12" s="457"/>
      <c r="J12" s="457"/>
      <c r="K12" s="459"/>
    </row>
    <row r="13" spans="1:11" ht="16.5" customHeight="1">
      <c r="A13" s="463" t="s">
        <v>14</v>
      </c>
      <c r="B13" s="457"/>
      <c r="C13" s="457"/>
      <c r="D13" s="457"/>
      <c r="E13" s="457"/>
      <c r="F13" s="457"/>
      <c r="G13" s="457"/>
      <c r="H13" s="457"/>
      <c r="I13" s="457"/>
      <c r="J13" s="457"/>
      <c r="K13" s="459"/>
    </row>
    <row r="14" spans="1:11" ht="15" customHeight="1">
      <c r="A14" s="5"/>
      <c r="B14" s="6" t="s">
        <v>15</v>
      </c>
      <c r="C14" s="7"/>
      <c r="D14" s="8" t="s">
        <v>16</v>
      </c>
      <c r="E14" s="9" t="s">
        <v>17</v>
      </c>
      <c r="F14" s="10" t="s">
        <v>18</v>
      </c>
      <c r="G14" s="11" t="s">
        <v>19</v>
      </c>
      <c r="H14" s="12" t="s">
        <v>20</v>
      </c>
      <c r="I14" s="13">
        <v>200</v>
      </c>
      <c r="J14" s="11"/>
      <c r="K14" s="11">
        <f t="shared" ref="K14:K19" si="0">I14*J14</f>
        <v>0</v>
      </c>
    </row>
    <row r="15" spans="1:11" ht="15" customHeight="1">
      <c r="A15" s="5"/>
      <c r="B15" s="6" t="s">
        <v>15</v>
      </c>
      <c r="C15" s="14"/>
      <c r="D15" s="15" t="s">
        <v>21</v>
      </c>
      <c r="E15" s="9" t="s">
        <v>17</v>
      </c>
      <c r="F15" s="10" t="s">
        <v>18</v>
      </c>
      <c r="G15" s="11" t="s">
        <v>19</v>
      </c>
      <c r="H15" s="16" t="s">
        <v>22</v>
      </c>
      <c r="I15" s="17">
        <v>320</v>
      </c>
      <c r="J15" s="18"/>
      <c r="K15" s="11">
        <f t="shared" si="0"/>
        <v>0</v>
      </c>
    </row>
    <row r="16" spans="1:11" ht="15" customHeight="1">
      <c r="A16" s="5"/>
      <c r="B16" s="19" t="s">
        <v>23</v>
      </c>
      <c r="C16" s="14"/>
      <c r="D16" s="11" t="s">
        <v>24</v>
      </c>
      <c r="E16" s="9" t="s">
        <v>17</v>
      </c>
      <c r="F16" s="10" t="s">
        <v>18</v>
      </c>
      <c r="G16" s="11" t="s">
        <v>19</v>
      </c>
      <c r="H16" s="16" t="s">
        <v>20</v>
      </c>
      <c r="I16" s="17">
        <v>140</v>
      </c>
      <c r="J16" s="18"/>
      <c r="K16" s="11">
        <f t="shared" si="0"/>
        <v>0</v>
      </c>
    </row>
    <row r="17" spans="1:11" ht="15" customHeight="1">
      <c r="A17" s="5"/>
      <c r="B17" s="19" t="s">
        <v>25</v>
      </c>
      <c r="C17" s="14"/>
      <c r="D17" s="11" t="s">
        <v>24</v>
      </c>
      <c r="E17" s="9" t="s">
        <v>17</v>
      </c>
      <c r="F17" s="10" t="s">
        <v>18</v>
      </c>
      <c r="G17" s="11" t="s">
        <v>19</v>
      </c>
      <c r="H17" s="16" t="s">
        <v>20</v>
      </c>
      <c r="I17" s="17">
        <v>140</v>
      </c>
      <c r="J17" s="18"/>
      <c r="K17" s="11">
        <f t="shared" si="0"/>
        <v>0</v>
      </c>
    </row>
    <row r="18" spans="1:11" ht="15" customHeight="1">
      <c r="A18" s="5"/>
      <c r="B18" s="19" t="s">
        <v>23</v>
      </c>
      <c r="C18" s="14"/>
      <c r="D18" s="11" t="s">
        <v>26</v>
      </c>
      <c r="E18" s="9" t="s">
        <v>17</v>
      </c>
      <c r="F18" s="10" t="s">
        <v>18</v>
      </c>
      <c r="G18" s="11" t="s">
        <v>19</v>
      </c>
      <c r="H18" s="16" t="s">
        <v>22</v>
      </c>
      <c r="I18" s="17">
        <v>550</v>
      </c>
      <c r="J18" s="18"/>
      <c r="K18" s="11">
        <f t="shared" si="0"/>
        <v>0</v>
      </c>
    </row>
    <row r="19" spans="1:11" ht="15" customHeight="1">
      <c r="A19" s="5"/>
      <c r="B19" s="19" t="s">
        <v>25</v>
      </c>
      <c r="C19" s="14"/>
      <c r="D19" s="11" t="s">
        <v>27</v>
      </c>
      <c r="E19" s="9" t="s">
        <v>17</v>
      </c>
      <c r="F19" s="10" t="s">
        <v>18</v>
      </c>
      <c r="G19" s="11" t="s">
        <v>19</v>
      </c>
      <c r="H19" s="16" t="s">
        <v>22</v>
      </c>
      <c r="I19" s="17">
        <v>550</v>
      </c>
      <c r="J19" s="18"/>
      <c r="K19" s="11">
        <f t="shared" si="0"/>
        <v>0</v>
      </c>
    </row>
    <row r="20" spans="1:11" ht="26.25" customHeight="1">
      <c r="A20" s="20"/>
      <c r="B20" s="21" t="str">
        <f>HYPERLINK("http://www.amare-moscow.ru/catalog/kotlety/","Котлеты овощные с/м")</f>
        <v>Котлеты овощные с/м</v>
      </c>
      <c r="C20" s="22"/>
      <c r="D20" s="23" t="s">
        <v>28</v>
      </c>
      <c r="E20" s="23" t="s">
        <v>29</v>
      </c>
      <c r="F20" s="24" t="s">
        <v>30</v>
      </c>
      <c r="G20" s="23" t="s">
        <v>31</v>
      </c>
      <c r="H20" s="25" t="s">
        <v>32</v>
      </c>
      <c r="I20" s="24" t="s">
        <v>33</v>
      </c>
      <c r="J20" s="24" t="s">
        <v>34</v>
      </c>
      <c r="K20" s="23" t="s">
        <v>35</v>
      </c>
    </row>
    <row r="21" spans="1:11" ht="15" customHeight="1">
      <c r="A21" s="5"/>
      <c r="B21" s="26" t="s">
        <v>36</v>
      </c>
      <c r="C21" s="27"/>
      <c r="D21" s="28" t="s">
        <v>37</v>
      </c>
      <c r="E21" s="12" t="s">
        <v>38</v>
      </c>
      <c r="F21" s="29" t="s">
        <v>39</v>
      </c>
      <c r="G21" s="30" t="s">
        <v>19</v>
      </c>
      <c r="H21" s="12" t="s">
        <v>20</v>
      </c>
      <c r="I21" s="13">
        <v>115</v>
      </c>
      <c r="J21" s="30"/>
      <c r="K21" s="30">
        <f>I21*J21</f>
        <v>0</v>
      </c>
    </row>
    <row r="22" spans="1:11" ht="16.5" customHeight="1">
      <c r="A22" s="464" t="s">
        <v>40</v>
      </c>
      <c r="B22" s="457"/>
      <c r="C22" s="457"/>
      <c r="D22" s="457"/>
      <c r="E22" s="457"/>
      <c r="F22" s="457"/>
      <c r="G22" s="457"/>
      <c r="H22" s="457"/>
      <c r="I22" s="457"/>
      <c r="J22" s="457"/>
      <c r="K22" s="459"/>
    </row>
    <row r="23" spans="1:11" ht="26.25" customHeight="1">
      <c r="A23" s="31"/>
      <c r="B23" s="32" t="s">
        <v>41</v>
      </c>
      <c r="C23" s="22"/>
      <c r="D23" s="23" t="s">
        <v>28</v>
      </c>
      <c r="E23" s="23" t="s">
        <v>29</v>
      </c>
      <c r="F23" s="24" t="s">
        <v>30</v>
      </c>
      <c r="G23" s="23" t="s">
        <v>31</v>
      </c>
      <c r="H23" s="25" t="s">
        <v>32</v>
      </c>
      <c r="I23" s="33" t="s">
        <v>33</v>
      </c>
      <c r="J23" s="24" t="s">
        <v>34</v>
      </c>
      <c r="K23" s="23" t="s">
        <v>35</v>
      </c>
    </row>
    <row r="24" spans="1:11" ht="15" customHeight="1">
      <c r="A24" s="34"/>
      <c r="B24" s="35" t="s">
        <v>42</v>
      </c>
      <c r="C24" s="36"/>
      <c r="D24" s="37" t="s">
        <v>43</v>
      </c>
      <c r="E24" s="9" t="s">
        <v>17</v>
      </c>
      <c r="F24" s="38" t="s">
        <v>39</v>
      </c>
      <c r="G24" s="39" t="s">
        <v>19</v>
      </c>
      <c r="H24" s="38" t="s">
        <v>20</v>
      </c>
      <c r="I24" s="40">
        <v>200</v>
      </c>
      <c r="J24" s="39"/>
      <c r="K24" s="37">
        <f>I24*J24</f>
        <v>0</v>
      </c>
    </row>
    <row r="25" spans="1:11" ht="15" customHeight="1">
      <c r="A25" s="34"/>
      <c r="B25" s="35" t="s">
        <v>42</v>
      </c>
      <c r="C25" s="36"/>
      <c r="D25" s="37" t="s">
        <v>26</v>
      </c>
      <c r="E25" s="9" t="s">
        <v>17</v>
      </c>
      <c r="F25" s="38" t="s">
        <v>39</v>
      </c>
      <c r="G25" s="39" t="s">
        <v>19</v>
      </c>
      <c r="H25" s="41" t="s">
        <v>22</v>
      </c>
      <c r="I25" s="40">
        <v>480</v>
      </c>
      <c r="J25" s="42"/>
      <c r="K25" s="43">
        <v>0</v>
      </c>
    </row>
    <row r="26" spans="1:11" ht="15" customHeight="1">
      <c r="A26" s="34"/>
      <c r="B26" s="35" t="s">
        <v>44</v>
      </c>
      <c r="C26" s="36"/>
      <c r="D26" s="37" t="s">
        <v>45</v>
      </c>
      <c r="E26" s="9" t="s">
        <v>17</v>
      </c>
      <c r="F26" s="38" t="s">
        <v>39</v>
      </c>
      <c r="G26" s="39" t="s">
        <v>19</v>
      </c>
      <c r="H26" s="41" t="s">
        <v>20</v>
      </c>
      <c r="I26" s="44">
        <v>330</v>
      </c>
      <c r="J26" s="45"/>
      <c r="K26" s="43">
        <f t="shared" ref="K26:K28" si="1">I26*J26</f>
        <v>0</v>
      </c>
    </row>
    <row r="27" spans="1:11" ht="15" customHeight="1">
      <c r="A27" s="34"/>
      <c r="B27" s="35" t="s">
        <v>46</v>
      </c>
      <c r="C27" s="36"/>
      <c r="D27" s="37" t="s">
        <v>47</v>
      </c>
      <c r="E27" s="9" t="s">
        <v>17</v>
      </c>
      <c r="F27" s="38" t="s">
        <v>39</v>
      </c>
      <c r="G27" s="39" t="s">
        <v>19</v>
      </c>
      <c r="H27" s="41" t="s">
        <v>20</v>
      </c>
      <c r="I27" s="44">
        <v>245</v>
      </c>
      <c r="J27" s="45"/>
      <c r="K27" s="43">
        <f t="shared" si="1"/>
        <v>0</v>
      </c>
    </row>
    <row r="28" spans="1:11" ht="15" customHeight="1">
      <c r="A28" s="34"/>
      <c r="B28" s="35" t="s">
        <v>48</v>
      </c>
      <c r="C28" s="36"/>
      <c r="D28" s="37" t="s">
        <v>47</v>
      </c>
      <c r="E28" s="9" t="s">
        <v>17</v>
      </c>
      <c r="F28" s="38" t="s">
        <v>39</v>
      </c>
      <c r="G28" s="39" t="s">
        <v>19</v>
      </c>
      <c r="H28" s="41" t="s">
        <v>20</v>
      </c>
      <c r="I28" s="44">
        <v>145</v>
      </c>
      <c r="J28" s="45"/>
      <c r="K28" s="43">
        <f t="shared" si="1"/>
        <v>0</v>
      </c>
    </row>
    <row r="29" spans="1:11" ht="26.25" customHeight="1">
      <c r="A29" s="20"/>
      <c r="B29" s="32" t="s">
        <v>49</v>
      </c>
      <c r="C29" s="22"/>
      <c r="D29" s="23" t="s">
        <v>28</v>
      </c>
      <c r="E29" s="23" t="s">
        <v>29</v>
      </c>
      <c r="F29" s="24" t="s">
        <v>30</v>
      </c>
      <c r="G29" s="23" t="s">
        <v>31</v>
      </c>
      <c r="H29" s="25" t="s">
        <v>32</v>
      </c>
      <c r="I29" s="33" t="s">
        <v>33</v>
      </c>
      <c r="J29" s="24" t="s">
        <v>34</v>
      </c>
      <c r="K29" s="23" t="s">
        <v>35</v>
      </c>
    </row>
    <row r="30" spans="1:11" ht="15" customHeight="1">
      <c r="A30" s="5"/>
      <c r="B30" s="26" t="s">
        <v>50</v>
      </c>
      <c r="C30" s="27"/>
      <c r="D30" s="28" t="s">
        <v>51</v>
      </c>
      <c r="E30" s="46" t="s">
        <v>52</v>
      </c>
      <c r="F30" s="29" t="s">
        <v>39</v>
      </c>
      <c r="G30" s="30" t="s">
        <v>19</v>
      </c>
      <c r="H30" s="12" t="s">
        <v>20</v>
      </c>
      <c r="I30" s="13">
        <v>170</v>
      </c>
      <c r="J30" s="30"/>
      <c r="K30" s="30">
        <f>I30*J30</f>
        <v>0</v>
      </c>
    </row>
    <row r="31" spans="1:11" ht="15" customHeight="1">
      <c r="A31" s="5"/>
      <c r="B31" s="26" t="s">
        <v>53</v>
      </c>
      <c r="C31" s="27"/>
      <c r="D31" s="28" t="s">
        <v>51</v>
      </c>
      <c r="E31" s="46" t="s">
        <v>54</v>
      </c>
      <c r="F31" s="29" t="s">
        <v>39</v>
      </c>
      <c r="G31" s="30" t="s">
        <v>19</v>
      </c>
      <c r="H31" s="12" t="s">
        <v>20</v>
      </c>
      <c r="I31" s="13">
        <v>200</v>
      </c>
      <c r="J31" s="30"/>
      <c r="K31" s="30">
        <v>0</v>
      </c>
    </row>
    <row r="32" spans="1:11" ht="15" customHeight="1">
      <c r="A32" s="5"/>
      <c r="B32" s="26" t="s">
        <v>55</v>
      </c>
      <c r="C32" s="27"/>
      <c r="D32" s="28" t="s">
        <v>51</v>
      </c>
      <c r="E32" s="46" t="s">
        <v>54</v>
      </c>
      <c r="F32" s="29" t="s">
        <v>39</v>
      </c>
      <c r="G32" s="30" t="s">
        <v>19</v>
      </c>
      <c r="H32" s="12" t="s">
        <v>20</v>
      </c>
      <c r="I32" s="47">
        <v>255</v>
      </c>
      <c r="J32" s="30"/>
      <c r="K32" s="30">
        <f>I32*J32</f>
        <v>0</v>
      </c>
    </row>
    <row r="33" spans="1:11" ht="15" customHeight="1">
      <c r="A33" s="5"/>
      <c r="B33" s="26" t="s">
        <v>56</v>
      </c>
      <c r="C33" s="27"/>
      <c r="D33" s="28" t="s">
        <v>51</v>
      </c>
      <c r="E33" s="46" t="s">
        <v>54</v>
      </c>
      <c r="F33" s="29" t="s">
        <v>39</v>
      </c>
      <c r="G33" s="30" t="s">
        <v>19</v>
      </c>
      <c r="H33" s="12" t="s">
        <v>20</v>
      </c>
      <c r="I33" s="13">
        <v>160</v>
      </c>
      <c r="J33" s="30"/>
      <c r="K33" s="30">
        <v>0</v>
      </c>
    </row>
    <row r="34" spans="1:11" ht="15" customHeight="1">
      <c r="A34" s="5"/>
      <c r="B34" s="48" t="s">
        <v>57</v>
      </c>
      <c r="C34" s="49"/>
      <c r="D34" s="50" t="s">
        <v>51</v>
      </c>
      <c r="E34" s="51" t="s">
        <v>58</v>
      </c>
      <c r="F34" s="52" t="s">
        <v>39</v>
      </c>
      <c r="G34" s="53" t="s">
        <v>19</v>
      </c>
      <c r="H34" s="53" t="s">
        <v>20</v>
      </c>
      <c r="I34" s="54">
        <v>190</v>
      </c>
      <c r="J34" s="53"/>
      <c r="K34" s="53">
        <f t="shared" ref="K34:K36" si="2">I34*J34</f>
        <v>0</v>
      </c>
    </row>
    <row r="35" spans="1:11" ht="15" customHeight="1">
      <c r="A35" s="5"/>
      <c r="B35" s="26" t="s">
        <v>59</v>
      </c>
      <c r="C35" s="27"/>
      <c r="D35" s="28" t="s">
        <v>51</v>
      </c>
      <c r="E35" s="46" t="s">
        <v>54</v>
      </c>
      <c r="F35" s="29" t="s">
        <v>39</v>
      </c>
      <c r="G35" s="30" t="s">
        <v>19</v>
      </c>
      <c r="H35" s="12" t="s">
        <v>20</v>
      </c>
      <c r="I35" s="13">
        <v>150</v>
      </c>
      <c r="J35" s="30"/>
      <c r="K35" s="30">
        <f t="shared" si="2"/>
        <v>0</v>
      </c>
    </row>
    <row r="36" spans="1:11" ht="15" customHeight="1">
      <c r="A36" s="5"/>
      <c r="B36" s="26" t="s">
        <v>60</v>
      </c>
      <c r="C36" s="27"/>
      <c r="D36" s="28" t="s">
        <v>61</v>
      </c>
      <c r="E36" s="46" t="s">
        <v>62</v>
      </c>
      <c r="F36" s="29" t="s">
        <v>39</v>
      </c>
      <c r="G36" s="30" t="s">
        <v>19</v>
      </c>
      <c r="H36" s="13" t="s">
        <v>22</v>
      </c>
      <c r="I36" s="13">
        <v>475</v>
      </c>
      <c r="J36" s="30"/>
      <c r="K36" s="30">
        <f t="shared" si="2"/>
        <v>0</v>
      </c>
    </row>
    <row r="37" spans="1:11" ht="15" customHeight="1">
      <c r="A37" s="5"/>
      <c r="B37" s="55" t="s">
        <v>63</v>
      </c>
      <c r="C37" s="56"/>
      <c r="D37" s="57" t="s">
        <v>64</v>
      </c>
      <c r="E37" s="58" t="s">
        <v>65</v>
      </c>
      <c r="F37" s="59" t="s">
        <v>39</v>
      </c>
      <c r="G37" s="60" t="s">
        <v>19</v>
      </c>
      <c r="H37" s="61" t="s">
        <v>20</v>
      </c>
      <c r="I37" s="61">
        <v>240</v>
      </c>
      <c r="J37" s="62"/>
      <c r="K37" s="60">
        <v>0</v>
      </c>
    </row>
    <row r="38" spans="1:11" ht="15" customHeight="1">
      <c r="A38" s="5"/>
      <c r="B38" s="55" t="s">
        <v>66</v>
      </c>
      <c r="C38" s="56"/>
      <c r="D38" s="57" t="s">
        <v>64</v>
      </c>
      <c r="E38" s="58" t="s">
        <v>65</v>
      </c>
      <c r="F38" s="59" t="s">
        <v>39</v>
      </c>
      <c r="G38" s="60" t="s">
        <v>19</v>
      </c>
      <c r="H38" s="61" t="s">
        <v>20</v>
      </c>
      <c r="I38" s="61">
        <v>210</v>
      </c>
      <c r="J38" s="62"/>
      <c r="K38" s="60">
        <v>0</v>
      </c>
    </row>
    <row r="39" spans="1:11" ht="26.25" customHeight="1">
      <c r="A39" s="20"/>
      <c r="B39" s="32" t="s">
        <v>67</v>
      </c>
      <c r="C39" s="22"/>
      <c r="D39" s="23" t="s">
        <v>28</v>
      </c>
      <c r="E39" s="23" t="s">
        <v>29</v>
      </c>
      <c r="F39" s="24" t="s">
        <v>30</v>
      </c>
      <c r="G39" s="23" t="s">
        <v>31</v>
      </c>
      <c r="H39" s="25" t="s">
        <v>32</v>
      </c>
      <c r="I39" s="24" t="s">
        <v>33</v>
      </c>
      <c r="J39" s="24" t="s">
        <v>34</v>
      </c>
      <c r="K39" s="23" t="s">
        <v>35</v>
      </c>
    </row>
    <row r="40" spans="1:11" ht="15" customHeight="1">
      <c r="A40" s="5"/>
      <c r="B40" s="26" t="s">
        <v>68</v>
      </c>
      <c r="C40" s="27"/>
      <c r="D40" s="28" t="s">
        <v>69</v>
      </c>
      <c r="E40" s="12" t="s">
        <v>70</v>
      </c>
      <c r="F40" s="29" t="s">
        <v>71</v>
      </c>
      <c r="G40" s="30" t="s">
        <v>19</v>
      </c>
      <c r="H40" s="12" t="s">
        <v>20</v>
      </c>
      <c r="I40" s="47">
        <v>175</v>
      </c>
      <c r="J40" s="30"/>
      <c r="K40" s="30">
        <f t="shared" ref="K40:K42" si="3">I40*J40</f>
        <v>0</v>
      </c>
    </row>
    <row r="41" spans="1:11" ht="15" customHeight="1">
      <c r="A41" s="5"/>
      <c r="B41" s="26" t="s">
        <v>72</v>
      </c>
      <c r="C41" s="27"/>
      <c r="D41" s="28" t="s">
        <v>69</v>
      </c>
      <c r="E41" s="12" t="s">
        <v>70</v>
      </c>
      <c r="F41" s="29" t="s">
        <v>71</v>
      </c>
      <c r="G41" s="30" t="s">
        <v>19</v>
      </c>
      <c r="H41" s="12" t="s">
        <v>20</v>
      </c>
      <c r="I41" s="47">
        <v>245</v>
      </c>
      <c r="J41" s="30"/>
      <c r="K41" s="30">
        <f t="shared" si="3"/>
        <v>0</v>
      </c>
    </row>
    <row r="42" spans="1:11" ht="15" customHeight="1">
      <c r="A42" s="5"/>
      <c r="B42" s="26" t="s">
        <v>73</v>
      </c>
      <c r="C42" s="27"/>
      <c r="D42" s="28" t="s">
        <v>69</v>
      </c>
      <c r="E42" s="12" t="s">
        <v>70</v>
      </c>
      <c r="F42" s="29" t="s">
        <v>71</v>
      </c>
      <c r="G42" s="30" t="s">
        <v>19</v>
      </c>
      <c r="H42" s="12" t="s">
        <v>20</v>
      </c>
      <c r="I42" s="13" t="s">
        <v>74</v>
      </c>
      <c r="J42" s="30"/>
      <c r="K42" s="30" t="e">
        <f t="shared" si="3"/>
        <v>#VALUE!</v>
      </c>
    </row>
    <row r="43" spans="1:11" ht="15" customHeight="1">
      <c r="A43" s="5"/>
      <c r="B43" s="26" t="s">
        <v>75</v>
      </c>
      <c r="C43" s="27"/>
      <c r="D43" s="28" t="s">
        <v>69</v>
      </c>
      <c r="E43" s="12" t="s">
        <v>70</v>
      </c>
      <c r="F43" s="29" t="s">
        <v>71</v>
      </c>
      <c r="G43" s="30" t="s">
        <v>19</v>
      </c>
      <c r="H43" s="12" t="s">
        <v>20</v>
      </c>
      <c r="I43" s="47" t="s">
        <v>76</v>
      </c>
      <c r="J43" s="30"/>
      <c r="K43" s="30">
        <v>0</v>
      </c>
    </row>
    <row r="44" spans="1:11" ht="15" customHeight="1">
      <c r="A44" s="5"/>
      <c r="B44" s="26" t="s">
        <v>77</v>
      </c>
      <c r="C44" s="27"/>
      <c r="D44" s="28" t="s">
        <v>69</v>
      </c>
      <c r="E44" s="12" t="s">
        <v>70</v>
      </c>
      <c r="F44" s="29" t="s">
        <v>71</v>
      </c>
      <c r="G44" s="30" t="s">
        <v>19</v>
      </c>
      <c r="H44" s="12" t="s">
        <v>20</v>
      </c>
      <c r="I44" s="13">
        <v>155</v>
      </c>
      <c r="J44" s="30"/>
      <c r="K44" s="30">
        <f t="shared" ref="K44:K52" si="4">I44*J44</f>
        <v>0</v>
      </c>
    </row>
    <row r="45" spans="1:11" ht="15" customHeight="1">
      <c r="A45" s="5"/>
      <c r="B45" s="26" t="s">
        <v>78</v>
      </c>
      <c r="C45" s="27"/>
      <c r="D45" s="28" t="s">
        <v>69</v>
      </c>
      <c r="E45" s="12" t="s">
        <v>70</v>
      </c>
      <c r="F45" s="29" t="s">
        <v>71</v>
      </c>
      <c r="G45" s="30" t="s">
        <v>19</v>
      </c>
      <c r="H45" s="12" t="s">
        <v>20</v>
      </c>
      <c r="I45" s="13">
        <v>155</v>
      </c>
      <c r="J45" s="30"/>
      <c r="K45" s="30">
        <f t="shared" si="4"/>
        <v>0</v>
      </c>
    </row>
    <row r="46" spans="1:11" ht="15" customHeight="1">
      <c r="A46" s="5"/>
      <c r="B46" s="26" t="s">
        <v>79</v>
      </c>
      <c r="C46" s="27"/>
      <c r="D46" s="28" t="s">
        <v>69</v>
      </c>
      <c r="E46" s="12" t="s">
        <v>70</v>
      </c>
      <c r="F46" s="29" t="s">
        <v>71</v>
      </c>
      <c r="G46" s="30" t="s">
        <v>19</v>
      </c>
      <c r="H46" s="12" t="s">
        <v>20</v>
      </c>
      <c r="I46" s="13">
        <v>175</v>
      </c>
      <c r="J46" s="30"/>
      <c r="K46" s="30">
        <f t="shared" si="4"/>
        <v>0</v>
      </c>
    </row>
    <row r="47" spans="1:11" ht="15" customHeight="1">
      <c r="A47" s="5"/>
      <c r="B47" s="26" t="s">
        <v>80</v>
      </c>
      <c r="C47" s="27"/>
      <c r="D47" s="28" t="s">
        <v>69</v>
      </c>
      <c r="E47" s="12" t="s">
        <v>70</v>
      </c>
      <c r="F47" s="29" t="s">
        <v>71</v>
      </c>
      <c r="G47" s="30" t="s">
        <v>19</v>
      </c>
      <c r="H47" s="12" t="s">
        <v>20</v>
      </c>
      <c r="I47" s="13">
        <v>170</v>
      </c>
      <c r="J47" s="30"/>
      <c r="K47" s="30">
        <f t="shared" si="4"/>
        <v>0</v>
      </c>
    </row>
    <row r="48" spans="1:11" ht="15" customHeight="1">
      <c r="A48" s="5"/>
      <c r="B48" s="26" t="s">
        <v>79</v>
      </c>
      <c r="C48" s="27"/>
      <c r="D48" s="28" t="s">
        <v>21</v>
      </c>
      <c r="E48" s="12" t="s">
        <v>81</v>
      </c>
      <c r="F48" s="29" t="s">
        <v>71</v>
      </c>
      <c r="G48" s="30" t="s">
        <v>19</v>
      </c>
      <c r="H48" s="12" t="s">
        <v>22</v>
      </c>
      <c r="I48" s="13">
        <v>350</v>
      </c>
      <c r="J48" s="30"/>
      <c r="K48" s="30">
        <f t="shared" si="4"/>
        <v>0</v>
      </c>
    </row>
    <row r="49" spans="1:11" ht="15" customHeight="1">
      <c r="A49" s="5"/>
      <c r="B49" s="26" t="s">
        <v>68</v>
      </c>
      <c r="C49" s="27"/>
      <c r="D49" s="28" t="s">
        <v>21</v>
      </c>
      <c r="E49" s="12" t="s">
        <v>81</v>
      </c>
      <c r="F49" s="29" t="s">
        <v>71</v>
      </c>
      <c r="G49" s="30" t="s">
        <v>19</v>
      </c>
      <c r="H49" s="12" t="s">
        <v>22</v>
      </c>
      <c r="I49" s="13">
        <v>365</v>
      </c>
      <c r="J49" s="30"/>
      <c r="K49" s="30">
        <f t="shared" si="4"/>
        <v>0</v>
      </c>
    </row>
    <row r="50" spans="1:11" ht="15" customHeight="1">
      <c r="A50" s="5"/>
      <c r="B50" s="26" t="s">
        <v>82</v>
      </c>
      <c r="C50" s="27"/>
      <c r="D50" s="28" t="s">
        <v>21</v>
      </c>
      <c r="E50" s="12" t="s">
        <v>81</v>
      </c>
      <c r="F50" s="29" t="s">
        <v>71</v>
      </c>
      <c r="G50" s="30" t="s">
        <v>19</v>
      </c>
      <c r="H50" s="12" t="s">
        <v>22</v>
      </c>
      <c r="I50" s="13">
        <v>330</v>
      </c>
      <c r="J50" s="30"/>
      <c r="K50" s="30">
        <f t="shared" si="4"/>
        <v>0</v>
      </c>
    </row>
    <row r="51" spans="1:11" ht="15" customHeight="1">
      <c r="A51" s="5"/>
      <c r="B51" s="26" t="s">
        <v>83</v>
      </c>
      <c r="C51" s="27"/>
      <c r="D51" s="28" t="s">
        <v>21</v>
      </c>
      <c r="E51" s="12" t="s">
        <v>81</v>
      </c>
      <c r="F51" s="29" t="s">
        <v>71</v>
      </c>
      <c r="G51" s="30" t="s">
        <v>19</v>
      </c>
      <c r="H51" s="12" t="s">
        <v>22</v>
      </c>
      <c r="I51" s="13">
        <v>340</v>
      </c>
      <c r="J51" s="30"/>
      <c r="K51" s="30">
        <f t="shared" si="4"/>
        <v>0</v>
      </c>
    </row>
    <row r="52" spans="1:11" ht="15" customHeight="1">
      <c r="A52" s="5"/>
      <c r="B52" s="26" t="s">
        <v>80</v>
      </c>
      <c r="C52" s="27"/>
      <c r="D52" s="28" t="s">
        <v>21</v>
      </c>
      <c r="E52" s="12" t="s">
        <v>81</v>
      </c>
      <c r="F52" s="29" t="s">
        <v>71</v>
      </c>
      <c r="G52" s="30" t="s">
        <v>19</v>
      </c>
      <c r="H52" s="12" t="s">
        <v>22</v>
      </c>
      <c r="I52" s="47">
        <v>370</v>
      </c>
      <c r="J52" s="30"/>
      <c r="K52" s="30">
        <f t="shared" si="4"/>
        <v>0</v>
      </c>
    </row>
    <row r="53" spans="1:11" ht="26.25" customHeight="1">
      <c r="A53" s="20"/>
      <c r="B53" s="63" t="s">
        <v>84</v>
      </c>
      <c r="C53" s="22"/>
      <c r="D53" s="23" t="s">
        <v>28</v>
      </c>
      <c r="E53" s="23" t="s">
        <v>29</v>
      </c>
      <c r="F53" s="24" t="s">
        <v>30</v>
      </c>
      <c r="G53" s="23" t="s">
        <v>31</v>
      </c>
      <c r="H53" s="25" t="s">
        <v>32</v>
      </c>
      <c r="I53" s="24" t="s">
        <v>33</v>
      </c>
      <c r="J53" s="24" t="s">
        <v>34</v>
      </c>
      <c r="K53" s="23" t="s">
        <v>35</v>
      </c>
    </row>
    <row r="54" spans="1:11" ht="15" customHeight="1">
      <c r="A54" s="5"/>
      <c r="B54" s="55" t="s">
        <v>85</v>
      </c>
      <c r="C54" s="56"/>
      <c r="D54" s="57" t="s">
        <v>86</v>
      </c>
      <c r="E54" s="64" t="s">
        <v>87</v>
      </c>
      <c r="F54" s="59" t="s">
        <v>39</v>
      </c>
      <c r="G54" s="60" t="s">
        <v>19</v>
      </c>
      <c r="H54" s="59" t="s">
        <v>20</v>
      </c>
      <c r="I54" s="61">
        <v>150</v>
      </c>
      <c r="J54" s="62"/>
      <c r="K54" s="60">
        <f t="shared" ref="K54:K56" si="5">I54*J54</f>
        <v>0</v>
      </c>
    </row>
    <row r="55" spans="1:11" ht="15" customHeight="1">
      <c r="A55" s="5"/>
      <c r="B55" s="26" t="s">
        <v>88</v>
      </c>
      <c r="C55" s="27"/>
      <c r="D55" s="28" t="s">
        <v>89</v>
      </c>
      <c r="E55" s="12" t="s">
        <v>90</v>
      </c>
      <c r="F55" s="29" t="s">
        <v>39</v>
      </c>
      <c r="G55" s="30" t="s">
        <v>19</v>
      </c>
      <c r="H55" s="12" t="s">
        <v>20</v>
      </c>
      <c r="I55" s="13">
        <v>140</v>
      </c>
      <c r="J55" s="30"/>
      <c r="K55" s="30">
        <f t="shared" si="5"/>
        <v>0</v>
      </c>
    </row>
    <row r="56" spans="1:11" ht="15" customHeight="1">
      <c r="A56" s="5"/>
      <c r="B56" s="26" t="s">
        <v>91</v>
      </c>
      <c r="C56" s="27"/>
      <c r="D56" s="28" t="s">
        <v>89</v>
      </c>
      <c r="E56" s="12" t="s">
        <v>90</v>
      </c>
      <c r="F56" s="29" t="s">
        <v>39</v>
      </c>
      <c r="G56" s="30" t="s">
        <v>19</v>
      </c>
      <c r="H56" s="12" t="s">
        <v>20</v>
      </c>
      <c r="I56" s="13">
        <v>125</v>
      </c>
      <c r="J56" s="30"/>
      <c r="K56" s="30">
        <f t="shared" si="5"/>
        <v>0</v>
      </c>
    </row>
    <row r="57" spans="1:11" ht="15" customHeight="1">
      <c r="A57" s="5"/>
      <c r="B57" s="26" t="s">
        <v>92</v>
      </c>
      <c r="C57" s="27"/>
      <c r="D57" s="28" t="s">
        <v>89</v>
      </c>
      <c r="E57" s="12" t="s">
        <v>90</v>
      </c>
      <c r="F57" s="29" t="s">
        <v>39</v>
      </c>
      <c r="G57" s="30" t="s">
        <v>19</v>
      </c>
      <c r="H57" s="12" t="s">
        <v>20</v>
      </c>
      <c r="I57" s="13" t="s">
        <v>93</v>
      </c>
      <c r="J57" s="30"/>
      <c r="K57" s="30">
        <v>0</v>
      </c>
    </row>
    <row r="58" spans="1:11" ht="15" customHeight="1">
      <c r="A58" s="65"/>
      <c r="B58" s="66" t="s">
        <v>94</v>
      </c>
      <c r="C58" s="7"/>
      <c r="D58" s="67" t="s">
        <v>89</v>
      </c>
      <c r="E58" s="12" t="s">
        <v>58</v>
      </c>
      <c r="F58" s="10" t="s">
        <v>39</v>
      </c>
      <c r="G58" s="11" t="s">
        <v>19</v>
      </c>
      <c r="H58" s="12" t="s">
        <v>20</v>
      </c>
      <c r="I58" s="47">
        <v>130</v>
      </c>
      <c r="J58" s="11"/>
      <c r="K58" s="11">
        <f t="shared" ref="K58:K66" si="6">I58*J58</f>
        <v>0</v>
      </c>
    </row>
    <row r="59" spans="1:11" ht="15" customHeight="1">
      <c r="A59" s="5"/>
      <c r="B59" s="26" t="s">
        <v>95</v>
      </c>
      <c r="C59" s="27"/>
      <c r="D59" s="28" t="s">
        <v>89</v>
      </c>
      <c r="E59" s="12" t="s">
        <v>90</v>
      </c>
      <c r="F59" s="29" t="s">
        <v>39</v>
      </c>
      <c r="G59" s="30" t="s">
        <v>19</v>
      </c>
      <c r="H59" s="12" t="s">
        <v>20</v>
      </c>
      <c r="I59" s="13">
        <v>95</v>
      </c>
      <c r="J59" s="30"/>
      <c r="K59" s="30">
        <f t="shared" si="6"/>
        <v>0</v>
      </c>
    </row>
    <row r="60" spans="1:11" ht="15" customHeight="1">
      <c r="A60" s="5"/>
      <c r="B60" s="26" t="s">
        <v>96</v>
      </c>
      <c r="C60" s="27"/>
      <c r="D60" s="28" t="s">
        <v>89</v>
      </c>
      <c r="E60" s="12" t="s">
        <v>90</v>
      </c>
      <c r="F60" s="29" t="s">
        <v>39</v>
      </c>
      <c r="G60" s="30" t="s">
        <v>19</v>
      </c>
      <c r="H60" s="12" t="s">
        <v>20</v>
      </c>
      <c r="I60" s="13">
        <v>90</v>
      </c>
      <c r="J60" s="30"/>
      <c r="K60" s="30">
        <f t="shared" si="6"/>
        <v>0</v>
      </c>
    </row>
    <row r="61" spans="1:11" ht="24" customHeight="1">
      <c r="A61" s="5"/>
      <c r="B61" s="68" t="s">
        <v>97</v>
      </c>
      <c r="C61" s="69"/>
      <c r="D61" s="70" t="s">
        <v>89</v>
      </c>
      <c r="E61" s="71" t="s">
        <v>58</v>
      </c>
      <c r="F61" s="72" t="s">
        <v>39</v>
      </c>
      <c r="G61" s="73" t="s">
        <v>19</v>
      </c>
      <c r="H61" s="71" t="s">
        <v>20</v>
      </c>
      <c r="I61" s="74">
        <v>95</v>
      </c>
      <c r="J61" s="73"/>
      <c r="K61" s="73">
        <f t="shared" si="6"/>
        <v>0</v>
      </c>
    </row>
    <row r="62" spans="1:11" ht="15" customHeight="1">
      <c r="A62" s="5"/>
      <c r="B62" s="66" t="s">
        <v>98</v>
      </c>
      <c r="C62" s="7"/>
      <c r="D62" s="67" t="s">
        <v>89</v>
      </c>
      <c r="E62" s="12" t="s">
        <v>90</v>
      </c>
      <c r="F62" s="10" t="s">
        <v>39</v>
      </c>
      <c r="G62" s="11" t="s">
        <v>19</v>
      </c>
      <c r="H62" s="12" t="s">
        <v>20</v>
      </c>
      <c r="I62" s="13">
        <v>180</v>
      </c>
      <c r="J62" s="11"/>
      <c r="K62" s="11">
        <f t="shared" si="6"/>
        <v>0</v>
      </c>
    </row>
    <row r="63" spans="1:11" ht="15" customHeight="1">
      <c r="A63" s="5"/>
      <c r="B63" s="66" t="s">
        <v>99</v>
      </c>
      <c r="C63" s="7"/>
      <c r="D63" s="67" t="s">
        <v>89</v>
      </c>
      <c r="E63" s="12" t="s">
        <v>90</v>
      </c>
      <c r="F63" s="10" t="s">
        <v>39</v>
      </c>
      <c r="G63" s="11" t="s">
        <v>19</v>
      </c>
      <c r="H63" s="12" t="s">
        <v>20</v>
      </c>
      <c r="I63" s="13">
        <v>105</v>
      </c>
      <c r="J63" s="11"/>
      <c r="K63" s="11">
        <f t="shared" si="6"/>
        <v>0</v>
      </c>
    </row>
    <row r="64" spans="1:11" ht="27" customHeight="1">
      <c r="A64" s="5"/>
      <c r="B64" s="75" t="s">
        <v>100</v>
      </c>
      <c r="C64" s="76"/>
      <c r="D64" s="77" t="s">
        <v>86</v>
      </c>
      <c r="E64" s="78"/>
      <c r="F64" s="79" t="s">
        <v>39</v>
      </c>
      <c r="G64" s="80" t="s">
        <v>19</v>
      </c>
      <c r="H64" s="81" t="s">
        <v>20</v>
      </c>
      <c r="I64" s="82">
        <v>100</v>
      </c>
      <c r="J64" s="80"/>
      <c r="K64" s="80">
        <f t="shared" si="6"/>
        <v>0</v>
      </c>
    </row>
    <row r="65" spans="1:11" ht="15" customHeight="1">
      <c r="A65" s="5"/>
      <c r="B65" s="66" t="s">
        <v>101</v>
      </c>
      <c r="C65" s="7"/>
      <c r="D65" s="67" t="s">
        <v>89</v>
      </c>
      <c r="E65" s="12" t="s">
        <v>90</v>
      </c>
      <c r="F65" s="10" t="s">
        <v>39</v>
      </c>
      <c r="G65" s="11" t="s">
        <v>19</v>
      </c>
      <c r="H65" s="12" t="s">
        <v>20</v>
      </c>
      <c r="I65" s="13">
        <v>140</v>
      </c>
      <c r="J65" s="11"/>
      <c r="K65" s="11">
        <f t="shared" si="6"/>
        <v>0</v>
      </c>
    </row>
    <row r="66" spans="1:11" ht="29.25" customHeight="1">
      <c r="A66" s="5"/>
      <c r="B66" s="66" t="s">
        <v>102</v>
      </c>
      <c r="C66" s="7"/>
      <c r="D66" s="67" t="s">
        <v>103</v>
      </c>
      <c r="E66" s="83"/>
      <c r="F66" s="10" t="s">
        <v>39</v>
      </c>
      <c r="G66" s="11" t="s">
        <v>19</v>
      </c>
      <c r="H66" s="12" t="s">
        <v>20</v>
      </c>
      <c r="I66" s="13">
        <v>130</v>
      </c>
      <c r="J66" s="11"/>
      <c r="K66" s="11">
        <f t="shared" si="6"/>
        <v>0</v>
      </c>
    </row>
    <row r="67" spans="1:11" ht="15" customHeight="1">
      <c r="A67" s="5"/>
      <c r="B67" s="26" t="s">
        <v>104</v>
      </c>
      <c r="C67" s="27"/>
      <c r="D67" s="28" t="s">
        <v>89</v>
      </c>
      <c r="E67" s="12" t="s">
        <v>90</v>
      </c>
      <c r="F67" s="29" t="s">
        <v>39</v>
      </c>
      <c r="G67" s="30" t="s">
        <v>19</v>
      </c>
      <c r="H67" s="12" t="s">
        <v>20</v>
      </c>
      <c r="I67" s="13">
        <v>145</v>
      </c>
      <c r="J67" s="30"/>
      <c r="K67" s="30">
        <v>0</v>
      </c>
    </row>
    <row r="68" spans="1:11" ht="15" customHeight="1">
      <c r="A68" s="5"/>
      <c r="B68" s="26" t="s">
        <v>105</v>
      </c>
      <c r="C68" s="27"/>
      <c r="D68" s="28" t="s">
        <v>89</v>
      </c>
      <c r="E68" s="12" t="s">
        <v>90</v>
      </c>
      <c r="F68" s="29" t="s">
        <v>39</v>
      </c>
      <c r="G68" s="30" t="s">
        <v>19</v>
      </c>
      <c r="H68" s="12" t="s">
        <v>20</v>
      </c>
      <c r="I68" s="13">
        <v>110</v>
      </c>
      <c r="J68" s="30"/>
      <c r="K68" s="30">
        <f t="shared" ref="K68:K70" si="7">I68*J68</f>
        <v>0</v>
      </c>
    </row>
    <row r="69" spans="1:11" ht="15" customHeight="1">
      <c r="A69" s="5"/>
      <c r="B69" s="66" t="s">
        <v>106</v>
      </c>
      <c r="C69" s="7"/>
      <c r="D69" s="67" t="s">
        <v>103</v>
      </c>
      <c r="E69" s="12" t="s">
        <v>107</v>
      </c>
      <c r="F69" s="10" t="s">
        <v>39</v>
      </c>
      <c r="G69" s="11" t="s">
        <v>19</v>
      </c>
      <c r="H69" s="12" t="s">
        <v>20</v>
      </c>
      <c r="I69" s="13">
        <v>270</v>
      </c>
      <c r="J69" s="11"/>
      <c r="K69" s="11">
        <f t="shared" si="7"/>
        <v>0</v>
      </c>
    </row>
    <row r="70" spans="1:11" ht="15" customHeight="1">
      <c r="A70" s="5"/>
      <c r="B70" s="66" t="s">
        <v>108</v>
      </c>
      <c r="C70" s="7"/>
      <c r="D70" s="67" t="s">
        <v>109</v>
      </c>
      <c r="E70" s="12" t="s">
        <v>110</v>
      </c>
      <c r="F70" s="10" t="s">
        <v>39</v>
      </c>
      <c r="G70" s="11" t="s">
        <v>19</v>
      </c>
      <c r="H70" s="12" t="s">
        <v>20</v>
      </c>
      <c r="I70" s="47">
        <v>70</v>
      </c>
      <c r="J70" s="11"/>
      <c r="K70" s="11">
        <f t="shared" si="7"/>
        <v>0</v>
      </c>
    </row>
    <row r="71" spans="1:11" ht="15" customHeight="1">
      <c r="A71" s="5"/>
      <c r="B71" s="84" t="s">
        <v>111</v>
      </c>
      <c r="C71" s="7"/>
      <c r="D71" s="67" t="s">
        <v>103</v>
      </c>
      <c r="E71" s="12" t="s">
        <v>87</v>
      </c>
      <c r="F71" s="10" t="s">
        <v>39</v>
      </c>
      <c r="G71" s="11" t="s">
        <v>19</v>
      </c>
      <c r="H71" s="10" t="s">
        <v>20</v>
      </c>
      <c r="I71" s="47">
        <v>65</v>
      </c>
      <c r="J71" s="11"/>
      <c r="K71" s="11">
        <v>0</v>
      </c>
    </row>
    <row r="72" spans="1:11" ht="15" customHeight="1">
      <c r="A72" s="5"/>
      <c r="B72" s="66" t="s">
        <v>85</v>
      </c>
      <c r="C72" s="7"/>
      <c r="D72" s="67" t="s">
        <v>26</v>
      </c>
      <c r="E72" s="85" t="s">
        <v>17</v>
      </c>
      <c r="F72" s="10" t="s">
        <v>39</v>
      </c>
      <c r="G72" s="11" t="s">
        <v>19</v>
      </c>
      <c r="H72" s="10" t="s">
        <v>22</v>
      </c>
      <c r="I72" s="13">
        <v>370</v>
      </c>
      <c r="J72" s="11"/>
      <c r="K72" s="11">
        <f t="shared" ref="K72:K74" si="8">I72*J72</f>
        <v>0</v>
      </c>
    </row>
    <row r="73" spans="1:11" ht="15" customHeight="1">
      <c r="A73" s="5"/>
      <c r="B73" s="66" t="s">
        <v>112</v>
      </c>
      <c r="C73" s="7"/>
      <c r="D73" s="67" t="s">
        <v>26</v>
      </c>
      <c r="E73" s="12"/>
      <c r="F73" s="10" t="s">
        <v>39</v>
      </c>
      <c r="G73" s="11" t="s">
        <v>19</v>
      </c>
      <c r="H73" s="12" t="s">
        <v>22</v>
      </c>
      <c r="I73" s="13">
        <v>200</v>
      </c>
      <c r="J73" s="11"/>
      <c r="K73" s="11">
        <f t="shared" si="8"/>
        <v>0</v>
      </c>
    </row>
    <row r="74" spans="1:11" ht="15" customHeight="1">
      <c r="A74" s="5"/>
      <c r="B74" s="26" t="s">
        <v>113</v>
      </c>
      <c r="C74" s="27"/>
      <c r="D74" s="28" t="s">
        <v>26</v>
      </c>
      <c r="E74" s="12"/>
      <c r="F74" s="29" t="s">
        <v>39</v>
      </c>
      <c r="G74" s="30" t="s">
        <v>19</v>
      </c>
      <c r="H74" s="12" t="s">
        <v>22</v>
      </c>
      <c r="I74" s="13">
        <v>355</v>
      </c>
      <c r="J74" s="30"/>
      <c r="K74" s="30">
        <f t="shared" si="8"/>
        <v>0</v>
      </c>
    </row>
    <row r="75" spans="1:11" ht="15" customHeight="1">
      <c r="A75" s="5"/>
      <c r="B75" s="26" t="s">
        <v>114</v>
      </c>
      <c r="C75" s="27"/>
      <c r="D75" s="28" t="s">
        <v>26</v>
      </c>
      <c r="E75" s="12"/>
      <c r="F75" s="29" t="s">
        <v>39</v>
      </c>
      <c r="G75" s="30" t="s">
        <v>19</v>
      </c>
      <c r="H75" s="12" t="s">
        <v>22</v>
      </c>
      <c r="I75" s="13">
        <v>360</v>
      </c>
      <c r="J75" s="30"/>
      <c r="K75" s="30">
        <v>0</v>
      </c>
    </row>
    <row r="76" spans="1:11" ht="15" customHeight="1">
      <c r="A76" s="5"/>
      <c r="B76" s="26" t="s">
        <v>105</v>
      </c>
      <c r="C76" s="27"/>
      <c r="D76" s="28" t="s">
        <v>26</v>
      </c>
      <c r="E76" s="12"/>
      <c r="F76" s="29" t="s">
        <v>39</v>
      </c>
      <c r="G76" s="30" t="s">
        <v>19</v>
      </c>
      <c r="H76" s="12" t="s">
        <v>22</v>
      </c>
      <c r="I76" s="13">
        <v>280</v>
      </c>
      <c r="J76" s="30"/>
      <c r="K76" s="30">
        <f t="shared" ref="K76:K78" si="9">I76*J76</f>
        <v>0</v>
      </c>
    </row>
    <row r="77" spans="1:11" ht="15" customHeight="1">
      <c r="A77" s="5"/>
      <c r="B77" s="26" t="s">
        <v>99</v>
      </c>
      <c r="C77" s="27"/>
      <c r="D77" s="28" t="s">
        <v>26</v>
      </c>
      <c r="E77" s="12"/>
      <c r="F77" s="29" t="s">
        <v>39</v>
      </c>
      <c r="G77" s="30" t="s">
        <v>19</v>
      </c>
      <c r="H77" s="12" t="s">
        <v>22</v>
      </c>
      <c r="I77" s="13">
        <v>265</v>
      </c>
      <c r="J77" s="30"/>
      <c r="K77" s="30">
        <f t="shared" si="9"/>
        <v>0</v>
      </c>
    </row>
    <row r="78" spans="1:11" ht="15" customHeight="1">
      <c r="A78" s="5"/>
      <c r="B78" s="26" t="s">
        <v>101</v>
      </c>
      <c r="C78" s="27"/>
      <c r="D78" s="28" t="s">
        <v>26</v>
      </c>
      <c r="E78" s="12"/>
      <c r="F78" s="29" t="s">
        <v>39</v>
      </c>
      <c r="G78" s="30" t="s">
        <v>19</v>
      </c>
      <c r="H78" s="12" t="s">
        <v>22</v>
      </c>
      <c r="I78" s="13">
        <v>360</v>
      </c>
      <c r="J78" s="30"/>
      <c r="K78" s="30">
        <f t="shared" si="9"/>
        <v>0</v>
      </c>
    </row>
    <row r="79" spans="1:11" ht="15" customHeight="1">
      <c r="A79" s="5"/>
      <c r="B79" s="66" t="s">
        <v>115</v>
      </c>
      <c r="C79" s="7"/>
      <c r="D79" s="67" t="s">
        <v>26</v>
      </c>
      <c r="E79" s="12"/>
      <c r="F79" s="10" t="s">
        <v>39</v>
      </c>
      <c r="G79" s="11" t="s">
        <v>19</v>
      </c>
      <c r="H79" s="12" t="s">
        <v>22</v>
      </c>
      <c r="I79" s="47">
        <v>250</v>
      </c>
      <c r="J79" s="11"/>
      <c r="K79" s="11">
        <v>0</v>
      </c>
    </row>
    <row r="80" spans="1:11" ht="15" customHeight="1">
      <c r="A80" s="5"/>
      <c r="B80" s="84" t="s">
        <v>111</v>
      </c>
      <c r="C80" s="86"/>
      <c r="D80" s="87" t="s">
        <v>116</v>
      </c>
      <c r="E80" s="88" t="s">
        <v>17</v>
      </c>
      <c r="F80" s="89" t="s">
        <v>39</v>
      </c>
      <c r="G80" s="11" t="s">
        <v>19</v>
      </c>
      <c r="H80" s="89" t="s">
        <v>22</v>
      </c>
      <c r="I80" s="90">
        <v>135</v>
      </c>
      <c r="J80" s="91"/>
      <c r="K80" s="11">
        <f>I80*J80</f>
        <v>0</v>
      </c>
    </row>
    <row r="81" spans="1:11" ht="15" customHeight="1">
      <c r="A81" s="5"/>
      <c r="B81" s="26" t="s">
        <v>88</v>
      </c>
      <c r="C81" s="92"/>
      <c r="D81" s="93" t="s">
        <v>26</v>
      </c>
      <c r="E81" s="88"/>
      <c r="F81" s="93" t="s">
        <v>39</v>
      </c>
      <c r="G81" s="11" t="s">
        <v>19</v>
      </c>
      <c r="H81" s="93" t="s">
        <v>22</v>
      </c>
      <c r="I81" s="94">
        <v>440</v>
      </c>
      <c r="J81" s="11"/>
      <c r="K81" s="11">
        <v>0</v>
      </c>
    </row>
    <row r="82" spans="1:11" ht="15" customHeight="1">
      <c r="A82" s="5"/>
      <c r="B82" s="26" t="s">
        <v>92</v>
      </c>
      <c r="C82" s="92"/>
      <c r="D82" s="93" t="s">
        <v>26</v>
      </c>
      <c r="E82" s="88"/>
      <c r="F82" s="93" t="s">
        <v>39</v>
      </c>
      <c r="G82" s="11" t="s">
        <v>19</v>
      </c>
      <c r="H82" s="93" t="s">
        <v>22</v>
      </c>
      <c r="I82" s="94">
        <v>250</v>
      </c>
      <c r="J82" s="11"/>
      <c r="K82" s="11">
        <v>0</v>
      </c>
    </row>
    <row r="83" spans="1:11" ht="26.25" customHeight="1">
      <c r="A83" s="95"/>
      <c r="B83" s="63" t="s">
        <v>117</v>
      </c>
      <c r="C83" s="22"/>
      <c r="D83" s="23" t="s">
        <v>28</v>
      </c>
      <c r="E83" s="23" t="s">
        <v>29</v>
      </c>
      <c r="F83" s="24" t="s">
        <v>30</v>
      </c>
      <c r="G83" s="23" t="s">
        <v>31</v>
      </c>
      <c r="H83" s="25" t="s">
        <v>32</v>
      </c>
      <c r="I83" s="24" t="s">
        <v>33</v>
      </c>
      <c r="J83" s="24" t="s">
        <v>34</v>
      </c>
      <c r="K83" s="23" t="s">
        <v>35</v>
      </c>
    </row>
    <row r="84" spans="1:11" ht="15" customHeight="1">
      <c r="A84" s="5"/>
      <c r="B84" s="55" t="s">
        <v>118</v>
      </c>
      <c r="C84" s="96"/>
      <c r="D84" s="97" t="s">
        <v>119</v>
      </c>
      <c r="E84" s="97"/>
      <c r="F84" s="97" t="s">
        <v>71</v>
      </c>
      <c r="G84" s="60" t="s">
        <v>19</v>
      </c>
      <c r="H84" s="97" t="s">
        <v>20</v>
      </c>
      <c r="I84" s="98">
        <v>150</v>
      </c>
      <c r="J84" s="60"/>
      <c r="K84" s="60">
        <f t="shared" ref="K84:K85" si="10">I84*J84</f>
        <v>0</v>
      </c>
    </row>
    <row r="85" spans="1:11" ht="15" customHeight="1">
      <c r="A85" s="5"/>
      <c r="B85" s="55" t="s">
        <v>118</v>
      </c>
      <c r="C85" s="96"/>
      <c r="D85" s="97" t="s">
        <v>26</v>
      </c>
      <c r="E85" s="97"/>
      <c r="F85" s="97" t="s">
        <v>71</v>
      </c>
      <c r="G85" s="60" t="s">
        <v>19</v>
      </c>
      <c r="H85" s="97" t="s">
        <v>22</v>
      </c>
      <c r="I85" s="98">
        <v>510</v>
      </c>
      <c r="J85" s="60"/>
      <c r="K85" s="60">
        <f t="shared" si="10"/>
        <v>0</v>
      </c>
    </row>
    <row r="86" spans="1:11" ht="15" customHeight="1">
      <c r="A86" s="99" t="s">
        <v>120</v>
      </c>
      <c r="B86" s="465" t="s">
        <v>120</v>
      </c>
      <c r="C86" s="457"/>
      <c r="D86" s="457"/>
      <c r="E86" s="457"/>
      <c r="F86" s="457"/>
      <c r="G86" s="457"/>
      <c r="H86" s="457"/>
      <c r="I86" s="457"/>
      <c r="J86" s="457"/>
      <c r="K86" s="100"/>
    </row>
    <row r="87" spans="1:11" ht="15" customHeight="1">
      <c r="A87" s="101"/>
      <c r="B87" s="102" t="s">
        <v>121</v>
      </c>
      <c r="C87" s="103"/>
      <c r="D87" s="103" t="s">
        <v>122</v>
      </c>
      <c r="E87" s="103"/>
      <c r="F87" s="103"/>
      <c r="G87" s="11" t="s">
        <v>19</v>
      </c>
      <c r="H87" s="103" t="s">
        <v>22</v>
      </c>
      <c r="I87" s="104">
        <v>520</v>
      </c>
      <c r="J87" s="104"/>
      <c r="K87" s="11">
        <f t="shared" ref="K87:K88" si="11">I87*J87</f>
        <v>0</v>
      </c>
    </row>
    <row r="88" spans="1:11" ht="15" customHeight="1">
      <c r="A88" s="101"/>
      <c r="B88" s="102" t="s">
        <v>123</v>
      </c>
      <c r="C88" s="105"/>
      <c r="D88" s="105" t="s">
        <v>122</v>
      </c>
      <c r="E88" s="105"/>
      <c r="F88" s="105"/>
      <c r="G88" s="11" t="s">
        <v>19</v>
      </c>
      <c r="H88" s="105" t="s">
        <v>124</v>
      </c>
      <c r="I88" s="105">
        <v>500</v>
      </c>
      <c r="J88" s="106"/>
      <c r="K88" s="11">
        <f t="shared" si="11"/>
        <v>0</v>
      </c>
    </row>
    <row r="89" spans="1:11" ht="15" customHeight="1">
      <c r="A89" s="107"/>
      <c r="B89" s="108" t="s">
        <v>125</v>
      </c>
      <c r="C89" s="109"/>
      <c r="D89" s="109" t="s">
        <v>126</v>
      </c>
      <c r="E89" s="109"/>
      <c r="F89" s="109" t="s">
        <v>39</v>
      </c>
      <c r="G89" s="11" t="s">
        <v>19</v>
      </c>
      <c r="H89" s="109" t="s">
        <v>22</v>
      </c>
      <c r="I89" s="109">
        <v>1210</v>
      </c>
      <c r="J89" s="107"/>
      <c r="K89" s="30">
        <v>0</v>
      </c>
    </row>
    <row r="90" spans="1:11" ht="15" customHeight="1">
      <c r="A90" s="107"/>
      <c r="B90" s="108" t="s">
        <v>127</v>
      </c>
      <c r="C90" s="109"/>
      <c r="D90" s="109" t="s">
        <v>128</v>
      </c>
      <c r="E90" s="109"/>
      <c r="F90" s="109" t="s">
        <v>39</v>
      </c>
      <c r="G90" s="11" t="s">
        <v>19</v>
      </c>
      <c r="H90" s="109" t="s">
        <v>22</v>
      </c>
      <c r="I90" s="107">
        <v>850</v>
      </c>
      <c r="J90" s="107"/>
      <c r="K90" s="30">
        <f t="shared" ref="K90:K91" si="12">I90*J90</f>
        <v>0</v>
      </c>
    </row>
    <row r="91" spans="1:11" ht="15" customHeight="1">
      <c r="A91" s="107"/>
      <c r="B91" s="108" t="s">
        <v>129</v>
      </c>
      <c r="C91" s="109"/>
      <c r="D91" s="109" t="s">
        <v>128</v>
      </c>
      <c r="E91" s="109"/>
      <c r="F91" s="109" t="s">
        <v>39</v>
      </c>
      <c r="G91" s="11" t="s">
        <v>19</v>
      </c>
      <c r="H91" s="109" t="s">
        <v>22</v>
      </c>
      <c r="I91" s="107">
        <v>850</v>
      </c>
      <c r="J91" s="107"/>
      <c r="K91" s="30">
        <f t="shared" si="12"/>
        <v>0</v>
      </c>
    </row>
    <row r="92" spans="1:11" ht="15" customHeight="1">
      <c r="A92" s="107"/>
      <c r="B92" s="108" t="s">
        <v>130</v>
      </c>
      <c r="C92" s="109"/>
      <c r="D92" s="109" t="s">
        <v>128</v>
      </c>
      <c r="E92" s="109"/>
      <c r="F92" s="109" t="s">
        <v>39</v>
      </c>
      <c r="G92" s="11" t="s">
        <v>19</v>
      </c>
      <c r="H92" s="109" t="s">
        <v>22</v>
      </c>
      <c r="I92" s="107">
        <v>800</v>
      </c>
      <c r="J92" s="107"/>
      <c r="K92" s="30">
        <v>0</v>
      </c>
    </row>
    <row r="93" spans="1:11" ht="15" customHeight="1">
      <c r="A93" s="107"/>
      <c r="B93" s="108" t="s">
        <v>131</v>
      </c>
      <c r="C93" s="109"/>
      <c r="D93" s="109" t="s">
        <v>132</v>
      </c>
      <c r="E93" s="109"/>
      <c r="F93" s="109" t="s">
        <v>39</v>
      </c>
      <c r="G93" s="11" t="s">
        <v>19</v>
      </c>
      <c r="H93" s="109" t="s">
        <v>22</v>
      </c>
      <c r="I93" s="109">
        <v>540</v>
      </c>
      <c r="J93" s="107"/>
      <c r="K93" s="30">
        <f t="shared" ref="K93:K95" si="13">I93*J93</f>
        <v>0</v>
      </c>
    </row>
    <row r="94" spans="1:11" ht="15" customHeight="1">
      <c r="A94" s="107"/>
      <c r="B94" s="108" t="s">
        <v>133</v>
      </c>
      <c r="C94" s="109"/>
      <c r="D94" s="109" t="s">
        <v>134</v>
      </c>
      <c r="E94" s="109"/>
      <c r="F94" s="109" t="s">
        <v>39</v>
      </c>
      <c r="G94" s="11" t="s">
        <v>19</v>
      </c>
      <c r="H94" s="109" t="s">
        <v>22</v>
      </c>
      <c r="I94" s="109">
        <v>550</v>
      </c>
      <c r="J94" s="107"/>
      <c r="K94" s="30">
        <f t="shared" si="13"/>
        <v>0</v>
      </c>
    </row>
    <row r="95" spans="1:11" ht="15" customHeight="1">
      <c r="A95" s="107"/>
      <c r="B95" s="108" t="s">
        <v>135</v>
      </c>
      <c r="C95" s="109"/>
      <c r="D95" s="110" t="s">
        <v>136</v>
      </c>
      <c r="E95" s="109"/>
      <c r="F95" s="109" t="s">
        <v>39</v>
      </c>
      <c r="G95" s="11" t="s">
        <v>19</v>
      </c>
      <c r="H95" s="109" t="s">
        <v>20</v>
      </c>
      <c r="I95" s="109">
        <v>800</v>
      </c>
      <c r="J95" s="107"/>
      <c r="K95" s="30">
        <f t="shared" si="13"/>
        <v>0</v>
      </c>
    </row>
    <row r="96" spans="1:11" ht="15" customHeight="1">
      <c r="A96" s="107"/>
      <c r="B96" s="108" t="s">
        <v>137</v>
      </c>
      <c r="C96" s="109"/>
      <c r="D96" s="111" t="s">
        <v>138</v>
      </c>
      <c r="E96" s="112"/>
      <c r="F96" s="109" t="s">
        <v>39</v>
      </c>
      <c r="G96" s="11" t="s">
        <v>19</v>
      </c>
      <c r="H96" s="109" t="s">
        <v>20</v>
      </c>
      <c r="I96" s="109">
        <v>270</v>
      </c>
      <c r="J96" s="107"/>
      <c r="K96" s="30">
        <v>0</v>
      </c>
    </row>
    <row r="97" spans="1:11" ht="15" customHeight="1">
      <c r="A97" s="107"/>
      <c r="B97" s="108" t="s">
        <v>139</v>
      </c>
      <c r="C97" s="109"/>
      <c r="D97" s="109" t="s">
        <v>140</v>
      </c>
      <c r="E97" s="109" t="s">
        <v>52</v>
      </c>
      <c r="F97" s="109" t="s">
        <v>39</v>
      </c>
      <c r="G97" s="11" t="s">
        <v>19</v>
      </c>
      <c r="H97" s="109" t="s">
        <v>20</v>
      </c>
      <c r="I97" s="109">
        <v>150</v>
      </c>
      <c r="J97" s="107"/>
      <c r="K97" s="30">
        <f>I97*J97</f>
        <v>0</v>
      </c>
    </row>
    <row r="98" spans="1:11" ht="15" customHeight="1">
      <c r="A98" s="107"/>
      <c r="B98" s="108" t="s">
        <v>141</v>
      </c>
      <c r="C98" s="109"/>
      <c r="D98" s="109" t="s">
        <v>142</v>
      </c>
      <c r="E98" s="109" t="s">
        <v>52</v>
      </c>
      <c r="F98" s="109" t="s">
        <v>39</v>
      </c>
      <c r="G98" s="11" t="s">
        <v>19</v>
      </c>
      <c r="H98" s="109" t="s">
        <v>20</v>
      </c>
      <c r="I98" s="107" t="s">
        <v>143</v>
      </c>
      <c r="J98" s="107"/>
      <c r="K98" s="30">
        <v>0</v>
      </c>
    </row>
    <row r="99" spans="1:11" ht="15" customHeight="1">
      <c r="A99" s="107"/>
      <c r="B99" s="108" t="s">
        <v>144</v>
      </c>
      <c r="C99" s="109"/>
      <c r="D99" s="109" t="s">
        <v>140</v>
      </c>
      <c r="E99" s="109" t="s">
        <v>52</v>
      </c>
      <c r="F99" s="109" t="s">
        <v>39</v>
      </c>
      <c r="G99" s="11" t="s">
        <v>19</v>
      </c>
      <c r="H99" s="109" t="s">
        <v>20</v>
      </c>
      <c r="I99" s="109" t="s">
        <v>143</v>
      </c>
      <c r="J99" s="107"/>
      <c r="K99" s="30">
        <v>0</v>
      </c>
    </row>
    <row r="100" spans="1:11" ht="18.75" customHeight="1">
      <c r="A100" s="113"/>
      <c r="B100" s="108" t="s">
        <v>145</v>
      </c>
      <c r="C100" s="109"/>
      <c r="D100" s="109" t="s">
        <v>146</v>
      </c>
      <c r="E100" s="109"/>
      <c r="F100" s="109" t="s">
        <v>39</v>
      </c>
      <c r="G100" s="11" t="s">
        <v>19</v>
      </c>
      <c r="H100" s="109" t="s">
        <v>20</v>
      </c>
      <c r="I100" s="109">
        <v>280</v>
      </c>
      <c r="J100" s="107"/>
      <c r="K100" s="30">
        <f>I100*J100</f>
        <v>0</v>
      </c>
    </row>
    <row r="101" spans="1:11" ht="18.75" customHeight="1">
      <c r="A101" s="113"/>
      <c r="B101" s="108" t="s">
        <v>147</v>
      </c>
      <c r="C101" s="109"/>
      <c r="D101" s="114" t="s">
        <v>148</v>
      </c>
      <c r="E101" s="109"/>
      <c r="F101" s="109" t="s">
        <v>39</v>
      </c>
      <c r="G101" s="11" t="s">
        <v>19</v>
      </c>
      <c r="H101" s="109" t="s">
        <v>22</v>
      </c>
      <c r="I101" s="107">
        <v>1600</v>
      </c>
      <c r="J101" s="107"/>
      <c r="K101" s="30">
        <v>0</v>
      </c>
    </row>
    <row r="102" spans="1:11" ht="18.75" customHeight="1">
      <c r="A102" s="113"/>
      <c r="B102" s="115" t="s">
        <v>149</v>
      </c>
      <c r="C102" s="109"/>
      <c r="D102" s="114" t="s">
        <v>150</v>
      </c>
      <c r="E102" s="109"/>
      <c r="F102" s="109" t="s">
        <v>39</v>
      </c>
      <c r="G102" s="11" t="s">
        <v>19</v>
      </c>
      <c r="H102" s="109" t="s">
        <v>22</v>
      </c>
      <c r="I102" s="109">
        <v>1600</v>
      </c>
      <c r="J102" s="107"/>
      <c r="K102" s="30">
        <f t="shared" ref="K102:K103" si="14">I102*J102</f>
        <v>0</v>
      </c>
    </row>
    <row r="103" spans="1:11" ht="18.75" customHeight="1">
      <c r="A103" s="113"/>
      <c r="B103" s="115" t="s">
        <v>151</v>
      </c>
      <c r="C103" s="109"/>
      <c r="D103" s="114" t="s">
        <v>152</v>
      </c>
      <c r="E103" s="109"/>
      <c r="F103" s="109" t="s">
        <v>39</v>
      </c>
      <c r="G103" s="11" t="s">
        <v>19</v>
      </c>
      <c r="H103" s="109" t="s">
        <v>22</v>
      </c>
      <c r="I103" s="109">
        <v>1600</v>
      </c>
      <c r="J103" s="107"/>
      <c r="K103" s="30">
        <f t="shared" si="14"/>
        <v>0</v>
      </c>
    </row>
    <row r="104" spans="1:11" ht="18.75" customHeight="1">
      <c r="A104" s="113"/>
      <c r="B104" s="115" t="s">
        <v>153</v>
      </c>
      <c r="C104" s="109"/>
      <c r="D104" s="114" t="s">
        <v>152</v>
      </c>
      <c r="E104" s="109"/>
      <c r="F104" s="109" t="s">
        <v>39</v>
      </c>
      <c r="G104" s="11" t="s">
        <v>19</v>
      </c>
      <c r="H104" s="109" t="s">
        <v>22</v>
      </c>
      <c r="I104" s="109">
        <v>1350</v>
      </c>
      <c r="J104" s="107"/>
      <c r="K104" s="30">
        <v>0</v>
      </c>
    </row>
    <row r="105" spans="1:11" ht="18.75" customHeight="1">
      <c r="A105" s="113"/>
      <c r="B105" s="115" t="s">
        <v>154</v>
      </c>
      <c r="C105" s="109"/>
      <c r="D105" s="114" t="s">
        <v>152</v>
      </c>
      <c r="E105" s="109"/>
      <c r="F105" s="109" t="s">
        <v>39</v>
      </c>
      <c r="G105" s="11" t="s">
        <v>19</v>
      </c>
      <c r="H105" s="109" t="s">
        <v>22</v>
      </c>
      <c r="I105" s="109">
        <v>1600</v>
      </c>
      <c r="J105" s="107"/>
      <c r="K105" s="30">
        <v>0</v>
      </c>
    </row>
    <row r="106" spans="1:11" ht="18.75" customHeight="1">
      <c r="A106" s="113"/>
      <c r="B106" s="115" t="s">
        <v>155</v>
      </c>
      <c r="C106" s="109"/>
      <c r="D106" s="114" t="s">
        <v>152</v>
      </c>
      <c r="E106" s="109"/>
      <c r="F106" s="109" t="s">
        <v>39</v>
      </c>
      <c r="G106" s="11" t="s">
        <v>19</v>
      </c>
      <c r="H106" s="109" t="s">
        <v>22</v>
      </c>
      <c r="I106" s="109">
        <v>1600</v>
      </c>
      <c r="J106" s="107"/>
      <c r="K106" s="30">
        <v>0</v>
      </c>
    </row>
    <row r="107" spans="1:11" ht="18.75" customHeight="1">
      <c r="A107" s="113"/>
      <c r="B107" s="115" t="s">
        <v>156</v>
      </c>
      <c r="C107" s="109"/>
      <c r="D107" s="114" t="s">
        <v>152</v>
      </c>
      <c r="E107" s="109"/>
      <c r="F107" s="109" t="s">
        <v>39</v>
      </c>
      <c r="G107" s="11" t="s">
        <v>19</v>
      </c>
      <c r="H107" s="109" t="s">
        <v>22</v>
      </c>
      <c r="I107" s="107">
        <v>1180</v>
      </c>
      <c r="J107" s="107"/>
      <c r="K107" s="30">
        <f t="shared" ref="K107:K110" si="15">I107*J107</f>
        <v>0</v>
      </c>
    </row>
    <row r="108" spans="1:11" ht="18.75" customHeight="1">
      <c r="A108" s="113"/>
      <c r="B108" s="115" t="s">
        <v>157</v>
      </c>
      <c r="C108" s="115"/>
      <c r="D108" s="114" t="s">
        <v>152</v>
      </c>
      <c r="E108" s="109"/>
      <c r="F108" s="109" t="s">
        <v>39</v>
      </c>
      <c r="G108" s="11" t="s">
        <v>19</v>
      </c>
      <c r="H108" s="109" t="s">
        <v>22</v>
      </c>
      <c r="I108" s="109">
        <v>1600</v>
      </c>
      <c r="J108" s="107"/>
      <c r="K108" s="30">
        <f t="shared" si="15"/>
        <v>0</v>
      </c>
    </row>
    <row r="109" spans="1:11" ht="18.75" customHeight="1">
      <c r="A109" s="113"/>
      <c r="B109" s="116" t="s">
        <v>158</v>
      </c>
      <c r="C109" s="117"/>
      <c r="D109" s="118" t="s">
        <v>152</v>
      </c>
      <c r="E109" s="109"/>
      <c r="F109" s="109" t="s">
        <v>39</v>
      </c>
      <c r="G109" s="12" t="s">
        <v>19</v>
      </c>
      <c r="H109" s="109" t="s">
        <v>22</v>
      </c>
      <c r="I109" s="109">
        <v>1800</v>
      </c>
      <c r="J109" s="107"/>
      <c r="K109" s="119">
        <f t="shared" si="15"/>
        <v>0</v>
      </c>
    </row>
    <row r="110" spans="1:11" ht="18.75" customHeight="1">
      <c r="A110" s="113"/>
      <c r="B110" s="116" t="s">
        <v>159</v>
      </c>
      <c r="C110" s="117"/>
      <c r="D110" s="118" t="s">
        <v>152</v>
      </c>
      <c r="E110" s="109"/>
      <c r="F110" s="109" t="s">
        <v>39</v>
      </c>
      <c r="G110" s="12" t="s">
        <v>19</v>
      </c>
      <c r="H110" s="109" t="s">
        <v>22</v>
      </c>
      <c r="I110" s="120">
        <v>1800</v>
      </c>
      <c r="J110" s="107"/>
      <c r="K110" s="12">
        <f t="shared" si="15"/>
        <v>0</v>
      </c>
    </row>
    <row r="111" spans="1:11" ht="18.75" customHeight="1">
      <c r="A111" s="113"/>
      <c r="B111" s="116" t="s">
        <v>160</v>
      </c>
      <c r="C111" s="117"/>
      <c r="D111" s="118" t="s">
        <v>152</v>
      </c>
      <c r="E111" s="109"/>
      <c r="F111" s="109" t="s">
        <v>39</v>
      </c>
      <c r="G111" s="12" t="s">
        <v>19</v>
      </c>
      <c r="H111" s="109" t="s">
        <v>22</v>
      </c>
      <c r="I111" s="120">
        <v>1800</v>
      </c>
      <c r="J111" s="107"/>
      <c r="K111" s="12">
        <v>0</v>
      </c>
    </row>
    <row r="112" spans="1:11" ht="18.75" customHeight="1">
      <c r="A112" s="113"/>
      <c r="B112" s="117" t="s">
        <v>161</v>
      </c>
      <c r="C112" s="110"/>
      <c r="D112" s="118" t="s">
        <v>152</v>
      </c>
      <c r="E112" s="109"/>
      <c r="F112" s="109" t="s">
        <v>39</v>
      </c>
      <c r="G112" s="12" t="s">
        <v>19</v>
      </c>
      <c r="H112" s="109" t="s">
        <v>22</v>
      </c>
      <c r="I112" s="120">
        <v>1700</v>
      </c>
      <c r="J112" s="107"/>
      <c r="K112" s="12">
        <v>0</v>
      </c>
    </row>
    <row r="113" spans="1:11" ht="18.75" customHeight="1">
      <c r="A113" s="113"/>
      <c r="B113" s="116" t="s">
        <v>162</v>
      </c>
      <c r="C113" s="110"/>
      <c r="D113" s="118" t="s">
        <v>152</v>
      </c>
      <c r="E113" s="109"/>
      <c r="F113" s="109" t="s">
        <v>39</v>
      </c>
      <c r="G113" s="12" t="s">
        <v>19</v>
      </c>
      <c r="H113" s="109" t="s">
        <v>22</v>
      </c>
      <c r="I113" s="109">
        <v>1600</v>
      </c>
      <c r="J113" s="107"/>
      <c r="K113" s="119">
        <v>0</v>
      </c>
    </row>
    <row r="114" spans="1:11" ht="18.75" customHeight="1">
      <c r="A114" s="113"/>
      <c r="B114" s="121" t="s">
        <v>163</v>
      </c>
      <c r="C114" s="109"/>
      <c r="D114" s="114" t="s">
        <v>164</v>
      </c>
      <c r="E114" s="122" t="s">
        <v>165</v>
      </c>
      <c r="F114" s="109" t="s">
        <v>39</v>
      </c>
      <c r="G114" s="11" t="s">
        <v>19</v>
      </c>
      <c r="H114" s="109" t="s">
        <v>22</v>
      </c>
      <c r="I114" s="107">
        <v>780</v>
      </c>
      <c r="J114" s="107"/>
      <c r="K114" s="30">
        <f t="shared" ref="K114:K117" si="16">I114*J114</f>
        <v>0</v>
      </c>
    </row>
    <row r="115" spans="1:11" ht="18.75" customHeight="1">
      <c r="A115" s="113"/>
      <c r="B115" s="123" t="s">
        <v>166</v>
      </c>
      <c r="C115" s="112"/>
      <c r="D115" s="114" t="s">
        <v>167</v>
      </c>
      <c r="E115" s="124" t="s">
        <v>165</v>
      </c>
      <c r="F115" s="112" t="s">
        <v>39</v>
      </c>
      <c r="G115" s="11" t="s">
        <v>19</v>
      </c>
      <c r="H115" s="112" t="s">
        <v>22</v>
      </c>
      <c r="I115" s="112">
        <v>610</v>
      </c>
      <c r="J115" s="125"/>
      <c r="K115" s="30">
        <f t="shared" si="16"/>
        <v>0</v>
      </c>
    </row>
    <row r="116" spans="1:11" ht="18.75" customHeight="1">
      <c r="A116" s="113"/>
      <c r="B116" s="126" t="s">
        <v>168</v>
      </c>
      <c r="C116" s="127"/>
      <c r="D116" s="114" t="s">
        <v>167</v>
      </c>
      <c r="E116" s="124" t="s">
        <v>165</v>
      </c>
      <c r="F116" s="112" t="s">
        <v>169</v>
      </c>
      <c r="G116" s="11" t="s">
        <v>19</v>
      </c>
      <c r="H116" s="112" t="s">
        <v>22</v>
      </c>
      <c r="I116" s="125">
        <v>660</v>
      </c>
      <c r="J116" s="127"/>
      <c r="K116" s="30">
        <f t="shared" si="16"/>
        <v>0</v>
      </c>
    </row>
    <row r="117" spans="1:11" ht="18.75" customHeight="1">
      <c r="A117" s="113"/>
      <c r="B117" s="123" t="s">
        <v>170</v>
      </c>
      <c r="C117" s="112"/>
      <c r="D117" s="114" t="s">
        <v>171</v>
      </c>
      <c r="E117" s="124" t="s">
        <v>172</v>
      </c>
      <c r="F117" s="112" t="s">
        <v>39</v>
      </c>
      <c r="G117" s="11" t="s">
        <v>19</v>
      </c>
      <c r="H117" s="112" t="s">
        <v>22</v>
      </c>
      <c r="I117" s="112">
        <v>700</v>
      </c>
      <c r="J117" s="125"/>
      <c r="K117" s="30">
        <f t="shared" si="16"/>
        <v>0</v>
      </c>
    </row>
    <row r="118" spans="1:11" ht="18.75" customHeight="1">
      <c r="A118" s="113"/>
      <c r="B118" s="128" t="s">
        <v>173</v>
      </c>
      <c r="C118" s="129"/>
      <c r="D118" s="130" t="s">
        <v>174</v>
      </c>
      <c r="E118" s="131" t="s">
        <v>172</v>
      </c>
      <c r="F118" s="129" t="s">
        <v>39</v>
      </c>
      <c r="G118" s="80" t="s">
        <v>19</v>
      </c>
      <c r="H118" s="129" t="s">
        <v>22</v>
      </c>
      <c r="I118" s="129">
        <v>950</v>
      </c>
      <c r="J118" s="132"/>
      <c r="K118" s="80">
        <v>0</v>
      </c>
    </row>
    <row r="119" spans="1:11" ht="18.75" customHeight="1">
      <c r="A119" s="113"/>
      <c r="B119" s="123" t="s">
        <v>175</v>
      </c>
      <c r="C119" s="112"/>
      <c r="D119" s="114" t="s">
        <v>174</v>
      </c>
      <c r="E119" s="124" t="s">
        <v>172</v>
      </c>
      <c r="F119" s="112" t="s">
        <v>39</v>
      </c>
      <c r="G119" s="11" t="s">
        <v>19</v>
      </c>
      <c r="H119" s="112" t="s">
        <v>22</v>
      </c>
      <c r="I119" s="112">
        <v>1450</v>
      </c>
      <c r="J119" s="125"/>
      <c r="K119" s="30">
        <f t="shared" ref="K119:K121" si="17">I119*J119</f>
        <v>0</v>
      </c>
    </row>
    <row r="120" spans="1:11" ht="37.5" customHeight="1">
      <c r="A120" s="113"/>
      <c r="B120" s="123" t="s">
        <v>176</v>
      </c>
      <c r="C120" s="112"/>
      <c r="D120" s="114" t="s">
        <v>177</v>
      </c>
      <c r="E120" s="124" t="s">
        <v>178</v>
      </c>
      <c r="F120" s="112" t="s">
        <v>71</v>
      </c>
      <c r="G120" s="11" t="s">
        <v>19</v>
      </c>
      <c r="H120" s="112" t="s">
        <v>22</v>
      </c>
      <c r="I120" s="112">
        <v>1500</v>
      </c>
      <c r="J120" s="125"/>
      <c r="K120" s="30">
        <f t="shared" si="17"/>
        <v>0</v>
      </c>
    </row>
    <row r="121" spans="1:11" ht="30" customHeight="1">
      <c r="A121" s="113"/>
      <c r="B121" s="123" t="s">
        <v>179</v>
      </c>
      <c r="C121" s="112"/>
      <c r="D121" s="114" t="s">
        <v>177</v>
      </c>
      <c r="E121" s="124" t="s">
        <v>178</v>
      </c>
      <c r="F121" s="112" t="s">
        <v>71</v>
      </c>
      <c r="G121" s="11" t="s">
        <v>19</v>
      </c>
      <c r="H121" s="112" t="s">
        <v>22</v>
      </c>
      <c r="I121" s="112">
        <v>935</v>
      </c>
      <c r="J121" s="125"/>
      <c r="K121" s="30">
        <f t="shared" si="17"/>
        <v>0</v>
      </c>
    </row>
    <row r="122" spans="1:11" ht="18" customHeight="1">
      <c r="A122" s="113"/>
      <c r="B122" s="123" t="s">
        <v>180</v>
      </c>
      <c r="C122" s="112"/>
      <c r="D122" s="114" t="s">
        <v>181</v>
      </c>
      <c r="E122" s="124" t="s">
        <v>165</v>
      </c>
      <c r="F122" s="112" t="s">
        <v>71</v>
      </c>
      <c r="G122" s="11" t="s">
        <v>19</v>
      </c>
      <c r="H122" s="112" t="s">
        <v>22</v>
      </c>
      <c r="I122" s="112">
        <v>1100</v>
      </c>
      <c r="J122" s="125"/>
      <c r="K122" s="30">
        <v>0</v>
      </c>
    </row>
    <row r="123" spans="1:11" ht="33" customHeight="1">
      <c r="A123" s="113"/>
      <c r="B123" s="123" t="s">
        <v>182</v>
      </c>
      <c r="C123" s="112"/>
      <c r="D123" s="114" t="s">
        <v>183</v>
      </c>
      <c r="E123" s="124" t="s">
        <v>178</v>
      </c>
      <c r="F123" s="112" t="s">
        <v>71</v>
      </c>
      <c r="G123" s="11" t="s">
        <v>19</v>
      </c>
      <c r="H123" s="112" t="s">
        <v>22</v>
      </c>
      <c r="I123" s="125" t="s">
        <v>143</v>
      </c>
      <c r="J123" s="125"/>
      <c r="K123" s="11">
        <v>0</v>
      </c>
    </row>
    <row r="124" spans="1:11" ht="18" customHeight="1">
      <c r="A124" s="113"/>
      <c r="B124" s="123" t="s">
        <v>184</v>
      </c>
      <c r="C124" s="112"/>
      <c r="D124" s="114" t="s">
        <v>185</v>
      </c>
      <c r="E124" s="124" t="s">
        <v>165</v>
      </c>
      <c r="F124" s="112" t="s">
        <v>71</v>
      </c>
      <c r="G124" s="11" t="s">
        <v>19</v>
      </c>
      <c r="H124" s="112" t="s">
        <v>22</v>
      </c>
      <c r="I124" s="112">
        <v>1600</v>
      </c>
      <c r="J124" s="125"/>
      <c r="K124" s="30">
        <f>I124*J124</f>
        <v>0</v>
      </c>
    </row>
    <row r="125" spans="1:11" ht="38.25" customHeight="1">
      <c r="A125" s="113"/>
      <c r="B125" s="123" t="s">
        <v>186</v>
      </c>
      <c r="C125" s="112"/>
      <c r="D125" s="114" t="s">
        <v>183</v>
      </c>
      <c r="E125" s="124" t="s">
        <v>178</v>
      </c>
      <c r="F125" s="112" t="s">
        <v>71</v>
      </c>
      <c r="G125" s="11" t="s">
        <v>19</v>
      </c>
      <c r="H125" s="112" t="s">
        <v>22</v>
      </c>
      <c r="I125" s="112" t="s">
        <v>143</v>
      </c>
      <c r="J125" s="125"/>
      <c r="K125" s="30">
        <v>0</v>
      </c>
    </row>
    <row r="126" spans="1:11" ht="18" customHeight="1">
      <c r="A126" s="113"/>
      <c r="B126" s="123" t="s">
        <v>187</v>
      </c>
      <c r="C126" s="112"/>
      <c r="D126" s="114" t="s">
        <v>188</v>
      </c>
      <c r="E126" s="124" t="s">
        <v>165</v>
      </c>
      <c r="F126" s="112" t="s">
        <v>71</v>
      </c>
      <c r="G126" s="11" t="s">
        <v>19</v>
      </c>
      <c r="H126" s="112" t="s">
        <v>124</v>
      </c>
      <c r="I126" s="112" t="s">
        <v>143</v>
      </c>
      <c r="J126" s="125"/>
      <c r="K126" s="30">
        <v>0</v>
      </c>
    </row>
    <row r="127" spans="1:11" ht="18" customHeight="1">
      <c r="A127" s="113"/>
      <c r="B127" s="123" t="s">
        <v>189</v>
      </c>
      <c r="C127" s="112"/>
      <c r="D127" s="114" t="s">
        <v>190</v>
      </c>
      <c r="E127" s="124"/>
      <c r="F127" s="133"/>
      <c r="G127" s="11" t="s">
        <v>19</v>
      </c>
      <c r="H127" s="133" t="s">
        <v>22</v>
      </c>
      <c r="I127" s="133">
        <v>1300</v>
      </c>
      <c r="J127" s="134"/>
      <c r="K127" s="30">
        <f t="shared" ref="K127:K128" si="18">I127*J127</f>
        <v>0</v>
      </c>
    </row>
    <row r="128" spans="1:11" ht="18" customHeight="1">
      <c r="A128" s="113"/>
      <c r="B128" s="123" t="s">
        <v>191</v>
      </c>
      <c r="C128" s="112"/>
      <c r="D128" s="114" t="s">
        <v>192</v>
      </c>
      <c r="E128" s="124" t="s">
        <v>52</v>
      </c>
      <c r="F128" s="133" t="s">
        <v>71</v>
      </c>
      <c r="G128" s="11" t="s">
        <v>19</v>
      </c>
      <c r="H128" s="133" t="s">
        <v>20</v>
      </c>
      <c r="I128" s="134">
        <v>290</v>
      </c>
      <c r="J128" s="134"/>
      <c r="K128" s="11">
        <f t="shared" si="18"/>
        <v>0</v>
      </c>
    </row>
    <row r="129" spans="1:11" ht="26.25" customHeight="1">
      <c r="A129" s="20"/>
      <c r="B129" s="63" t="s">
        <v>193</v>
      </c>
      <c r="C129" s="22"/>
      <c r="D129" s="23" t="s">
        <v>28</v>
      </c>
      <c r="E129" s="23" t="s">
        <v>29</v>
      </c>
      <c r="F129" s="24" t="s">
        <v>30</v>
      </c>
      <c r="G129" s="23" t="s">
        <v>31</v>
      </c>
      <c r="H129" s="25" t="s">
        <v>32</v>
      </c>
      <c r="I129" s="24" t="s">
        <v>33</v>
      </c>
      <c r="J129" s="24" t="s">
        <v>34</v>
      </c>
      <c r="K129" s="23" t="s">
        <v>35</v>
      </c>
    </row>
    <row r="130" spans="1:11" ht="15" customHeight="1">
      <c r="A130" s="5"/>
      <c r="B130" s="55" t="s">
        <v>194</v>
      </c>
      <c r="C130" s="56"/>
      <c r="D130" s="57" t="s">
        <v>195</v>
      </c>
      <c r="E130" s="135"/>
      <c r="F130" s="59" t="s">
        <v>39</v>
      </c>
      <c r="G130" s="60" t="s">
        <v>19</v>
      </c>
      <c r="H130" s="136" t="s">
        <v>20</v>
      </c>
      <c r="I130" s="137">
        <v>130</v>
      </c>
      <c r="J130" s="62"/>
      <c r="K130" s="60">
        <f t="shared" ref="K130:K135" si="19">I130*J130</f>
        <v>0</v>
      </c>
    </row>
    <row r="131" spans="1:11" ht="15" customHeight="1">
      <c r="A131" s="5"/>
      <c r="B131" s="66" t="s">
        <v>196</v>
      </c>
      <c r="C131" s="7"/>
      <c r="D131" s="67" t="s">
        <v>195</v>
      </c>
      <c r="E131" s="12"/>
      <c r="F131" s="10" t="s">
        <v>39</v>
      </c>
      <c r="G131" s="11" t="s">
        <v>19</v>
      </c>
      <c r="H131" s="13" t="s">
        <v>20</v>
      </c>
      <c r="I131" s="138">
        <v>207</v>
      </c>
      <c r="J131" s="91"/>
      <c r="K131" s="11">
        <f t="shared" si="19"/>
        <v>0</v>
      </c>
    </row>
    <row r="132" spans="1:11" ht="15" customHeight="1">
      <c r="A132" s="5"/>
      <c r="B132" s="66" t="s">
        <v>197</v>
      </c>
      <c r="C132" s="7"/>
      <c r="D132" s="67" t="s">
        <v>195</v>
      </c>
      <c r="E132" s="12"/>
      <c r="F132" s="10" t="s">
        <v>39</v>
      </c>
      <c r="G132" s="11" t="s">
        <v>19</v>
      </c>
      <c r="H132" s="13" t="s">
        <v>20</v>
      </c>
      <c r="I132" s="138">
        <v>200</v>
      </c>
      <c r="J132" s="91"/>
      <c r="K132" s="11">
        <f t="shared" si="19"/>
        <v>0</v>
      </c>
    </row>
    <row r="133" spans="1:11" ht="15" customHeight="1">
      <c r="A133" s="5"/>
      <c r="B133" s="66" t="s">
        <v>198</v>
      </c>
      <c r="C133" s="7"/>
      <c r="D133" s="67" t="s">
        <v>195</v>
      </c>
      <c r="E133" s="12"/>
      <c r="F133" s="10" t="s">
        <v>39</v>
      </c>
      <c r="G133" s="11" t="s">
        <v>19</v>
      </c>
      <c r="H133" s="13" t="s">
        <v>20</v>
      </c>
      <c r="I133" s="138">
        <v>220</v>
      </c>
      <c r="J133" s="91"/>
      <c r="K133" s="11">
        <f t="shared" si="19"/>
        <v>0</v>
      </c>
    </row>
    <row r="134" spans="1:11" ht="15" customHeight="1">
      <c r="A134" s="5"/>
      <c r="B134" s="66" t="s">
        <v>199</v>
      </c>
      <c r="C134" s="7"/>
      <c r="D134" s="67" t="s">
        <v>195</v>
      </c>
      <c r="E134" s="12"/>
      <c r="F134" s="10" t="s">
        <v>39</v>
      </c>
      <c r="G134" s="11" t="s">
        <v>19</v>
      </c>
      <c r="H134" s="13" t="s">
        <v>20</v>
      </c>
      <c r="I134" s="138">
        <v>250</v>
      </c>
      <c r="J134" s="91"/>
      <c r="K134" s="11">
        <f t="shared" si="19"/>
        <v>0</v>
      </c>
    </row>
    <row r="135" spans="1:11" ht="15" customHeight="1">
      <c r="A135" s="5"/>
      <c r="B135" s="66" t="s">
        <v>200</v>
      </c>
      <c r="C135" s="7"/>
      <c r="D135" s="67" t="s">
        <v>195</v>
      </c>
      <c r="E135" s="12"/>
      <c r="F135" s="10" t="s">
        <v>39</v>
      </c>
      <c r="G135" s="11" t="s">
        <v>19</v>
      </c>
      <c r="H135" s="13" t="s">
        <v>20</v>
      </c>
      <c r="I135" s="138">
        <v>205</v>
      </c>
      <c r="J135" s="91"/>
      <c r="K135" s="11">
        <f t="shared" si="19"/>
        <v>0</v>
      </c>
    </row>
    <row r="136" spans="1:11" ht="26.25" customHeight="1">
      <c r="A136" s="20"/>
      <c r="B136" s="32" t="s">
        <v>201</v>
      </c>
      <c r="C136" s="22"/>
      <c r="D136" s="23" t="s">
        <v>28</v>
      </c>
      <c r="E136" s="23" t="s">
        <v>29</v>
      </c>
      <c r="F136" s="24" t="s">
        <v>30</v>
      </c>
      <c r="G136" s="23" t="s">
        <v>31</v>
      </c>
      <c r="H136" s="25" t="s">
        <v>32</v>
      </c>
      <c r="I136" s="24" t="s">
        <v>33</v>
      </c>
      <c r="J136" s="24" t="s">
        <v>34</v>
      </c>
      <c r="K136" s="23" t="s">
        <v>35</v>
      </c>
    </row>
    <row r="137" spans="1:11" ht="18" customHeight="1">
      <c r="A137" s="5"/>
      <c r="B137" s="66" t="s">
        <v>202</v>
      </c>
      <c r="C137" s="7"/>
      <c r="D137" s="67" t="s">
        <v>203</v>
      </c>
      <c r="E137" s="12" t="s">
        <v>204</v>
      </c>
      <c r="F137" s="10" t="s">
        <v>205</v>
      </c>
      <c r="G137" s="11" t="s">
        <v>19</v>
      </c>
      <c r="H137" s="13" t="s">
        <v>20</v>
      </c>
      <c r="I137" s="13">
        <v>70</v>
      </c>
      <c r="J137" s="11"/>
      <c r="K137" s="30">
        <f t="shared" ref="K137:K138" si="20">I137*J137</f>
        <v>0</v>
      </c>
    </row>
    <row r="138" spans="1:11" ht="15" customHeight="1">
      <c r="A138" s="5"/>
      <c r="B138" s="26" t="s">
        <v>206</v>
      </c>
      <c r="C138" s="27"/>
      <c r="D138" s="28" t="s">
        <v>207</v>
      </c>
      <c r="E138" s="12" t="s">
        <v>204</v>
      </c>
      <c r="F138" s="29" t="s">
        <v>208</v>
      </c>
      <c r="G138" s="30" t="s">
        <v>19</v>
      </c>
      <c r="H138" s="13" t="s">
        <v>20</v>
      </c>
      <c r="I138" s="13">
        <v>95</v>
      </c>
      <c r="J138" s="30"/>
      <c r="K138" s="30">
        <f t="shared" si="20"/>
        <v>0</v>
      </c>
    </row>
    <row r="139" spans="1:11" ht="18" customHeight="1">
      <c r="A139" s="139"/>
      <c r="B139" s="466" t="s">
        <v>209</v>
      </c>
      <c r="C139" s="457"/>
      <c r="D139" s="457"/>
      <c r="E139" s="457"/>
      <c r="F139" s="457"/>
      <c r="G139" s="457"/>
      <c r="H139" s="457"/>
      <c r="I139" s="457"/>
      <c r="J139" s="457"/>
      <c r="K139" s="457"/>
    </row>
    <row r="140" spans="1:11" ht="18" customHeight="1">
      <c r="A140" s="139"/>
      <c r="B140" s="140" t="s">
        <v>210</v>
      </c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5" customHeight="1">
      <c r="A141" s="139"/>
      <c r="B141" s="141" t="s">
        <v>211</v>
      </c>
      <c r="C141" s="142"/>
      <c r="D141" s="143" t="s">
        <v>212</v>
      </c>
      <c r="E141" s="143"/>
      <c r="F141" s="144" t="s">
        <v>213</v>
      </c>
      <c r="G141" s="30" t="s">
        <v>214</v>
      </c>
      <c r="H141" s="145" t="s">
        <v>22</v>
      </c>
      <c r="I141" s="145">
        <v>430</v>
      </c>
      <c r="J141" s="146"/>
      <c r="K141" s="30">
        <f t="shared" ref="K141:K149" si="21">I141*J141</f>
        <v>0</v>
      </c>
    </row>
    <row r="142" spans="1:11" ht="15" customHeight="1">
      <c r="A142" s="139"/>
      <c r="B142" s="147" t="s">
        <v>215</v>
      </c>
      <c r="C142" s="142"/>
      <c r="D142" s="143" t="s">
        <v>216</v>
      </c>
      <c r="E142" s="143"/>
      <c r="F142" s="144"/>
      <c r="G142" s="148" t="s">
        <v>217</v>
      </c>
      <c r="H142" s="145" t="s">
        <v>22</v>
      </c>
      <c r="I142" s="145">
        <v>880</v>
      </c>
      <c r="J142" s="146"/>
      <c r="K142" s="30">
        <f t="shared" si="21"/>
        <v>0</v>
      </c>
    </row>
    <row r="143" spans="1:11" ht="15" customHeight="1">
      <c r="A143" s="139"/>
      <c r="B143" s="149" t="s">
        <v>218</v>
      </c>
      <c r="C143" s="142"/>
      <c r="D143" s="12" t="s">
        <v>219</v>
      </c>
      <c r="E143" s="12" t="s">
        <v>220</v>
      </c>
      <c r="F143" s="30" t="s">
        <v>39</v>
      </c>
      <c r="G143" s="30" t="s">
        <v>19</v>
      </c>
      <c r="H143" s="145" t="s">
        <v>20</v>
      </c>
      <c r="I143" s="145">
        <v>500</v>
      </c>
      <c r="J143" s="146"/>
      <c r="K143" s="30">
        <f t="shared" si="21"/>
        <v>0</v>
      </c>
    </row>
    <row r="144" spans="1:11" ht="15" customHeight="1">
      <c r="A144" s="139"/>
      <c r="B144" s="150" t="s">
        <v>221</v>
      </c>
      <c r="C144" s="151"/>
      <c r="D144" s="12" t="s">
        <v>222</v>
      </c>
      <c r="E144" s="12" t="s">
        <v>220</v>
      </c>
      <c r="F144" s="30" t="s">
        <v>39</v>
      </c>
      <c r="G144" s="30" t="s">
        <v>19</v>
      </c>
      <c r="H144" s="152" t="s">
        <v>20</v>
      </c>
      <c r="I144" s="152">
        <v>420</v>
      </c>
      <c r="J144" s="151"/>
      <c r="K144" s="30">
        <f t="shared" si="21"/>
        <v>0</v>
      </c>
    </row>
    <row r="145" spans="1:11" ht="15" customHeight="1">
      <c r="A145" s="139"/>
      <c r="B145" s="150" t="s">
        <v>223</v>
      </c>
      <c r="C145" s="151"/>
      <c r="D145" s="12" t="s">
        <v>146</v>
      </c>
      <c r="E145" s="12" t="s">
        <v>224</v>
      </c>
      <c r="F145" s="30" t="s">
        <v>39</v>
      </c>
      <c r="G145" s="30" t="s">
        <v>19</v>
      </c>
      <c r="H145" s="152" t="s">
        <v>20</v>
      </c>
      <c r="I145" s="152">
        <v>371</v>
      </c>
      <c r="J145" s="151"/>
      <c r="K145" s="30">
        <f t="shared" si="21"/>
        <v>0</v>
      </c>
    </row>
    <row r="146" spans="1:11" ht="15" customHeight="1">
      <c r="A146" s="139"/>
      <c r="B146" s="150" t="s">
        <v>225</v>
      </c>
      <c r="C146" s="151"/>
      <c r="D146" s="12" t="s">
        <v>219</v>
      </c>
      <c r="E146" s="12" t="s">
        <v>220</v>
      </c>
      <c r="F146" s="30" t="s">
        <v>39</v>
      </c>
      <c r="G146" s="30" t="s">
        <v>19</v>
      </c>
      <c r="H146" s="152" t="s">
        <v>20</v>
      </c>
      <c r="I146" s="152">
        <v>420</v>
      </c>
      <c r="J146" s="151"/>
      <c r="K146" s="30">
        <f t="shared" si="21"/>
        <v>0</v>
      </c>
    </row>
    <row r="147" spans="1:11" ht="15" customHeight="1">
      <c r="A147" s="139"/>
      <c r="B147" s="150" t="s">
        <v>226</v>
      </c>
      <c r="C147" s="153"/>
      <c r="D147" s="11" t="s">
        <v>219</v>
      </c>
      <c r="E147" s="11" t="s">
        <v>220</v>
      </c>
      <c r="F147" s="30" t="s">
        <v>39</v>
      </c>
      <c r="G147" s="30" t="s">
        <v>19</v>
      </c>
      <c r="H147" s="152" t="s">
        <v>20</v>
      </c>
      <c r="I147" s="152">
        <v>620</v>
      </c>
      <c r="J147" s="153"/>
      <c r="K147" s="30">
        <f t="shared" si="21"/>
        <v>0</v>
      </c>
    </row>
    <row r="148" spans="1:11" ht="15" customHeight="1">
      <c r="A148" s="139"/>
      <c r="B148" s="150" t="s">
        <v>227</v>
      </c>
      <c r="C148" s="154"/>
      <c r="D148" s="11" t="s">
        <v>219</v>
      </c>
      <c r="E148" s="11" t="s">
        <v>220</v>
      </c>
      <c r="F148" s="30" t="s">
        <v>39</v>
      </c>
      <c r="G148" s="30" t="s">
        <v>19</v>
      </c>
      <c r="H148" s="152" t="s">
        <v>20</v>
      </c>
      <c r="I148" s="152">
        <v>420</v>
      </c>
      <c r="J148" s="151"/>
      <c r="K148" s="30">
        <f t="shared" si="21"/>
        <v>0</v>
      </c>
    </row>
    <row r="149" spans="1:11" ht="15" customHeight="1">
      <c r="A149" s="139"/>
      <c r="B149" s="150" t="s">
        <v>228</v>
      </c>
      <c r="C149" s="154"/>
      <c r="D149" s="11" t="s">
        <v>219</v>
      </c>
      <c r="E149" s="11" t="s">
        <v>220</v>
      </c>
      <c r="F149" s="30" t="s">
        <v>39</v>
      </c>
      <c r="G149" s="30" t="s">
        <v>19</v>
      </c>
      <c r="H149" s="152" t="s">
        <v>20</v>
      </c>
      <c r="I149" s="152">
        <v>400</v>
      </c>
      <c r="J149" s="151"/>
      <c r="K149" s="30">
        <f t="shared" si="21"/>
        <v>0</v>
      </c>
    </row>
    <row r="150" spans="1:11" ht="15" customHeight="1">
      <c r="A150" s="139"/>
      <c r="B150" s="155" t="s">
        <v>229</v>
      </c>
      <c r="C150" s="154"/>
      <c r="D150" s="11" t="s">
        <v>146</v>
      </c>
      <c r="E150" s="11" t="s">
        <v>230</v>
      </c>
      <c r="F150" s="30" t="s">
        <v>39</v>
      </c>
      <c r="G150" s="30" t="s">
        <v>19</v>
      </c>
      <c r="H150" s="152" t="s">
        <v>20</v>
      </c>
      <c r="I150" s="153">
        <v>308</v>
      </c>
      <c r="J150" s="151"/>
      <c r="K150" s="30">
        <v>0</v>
      </c>
    </row>
    <row r="151" spans="1:11" ht="15" customHeight="1">
      <c r="A151" s="139"/>
      <c r="B151" s="150" t="s">
        <v>231</v>
      </c>
      <c r="C151" s="151"/>
      <c r="D151" s="12" t="s">
        <v>219</v>
      </c>
      <c r="E151" s="12" t="s">
        <v>220</v>
      </c>
      <c r="F151" s="30" t="s">
        <v>39</v>
      </c>
      <c r="G151" s="30" t="s">
        <v>19</v>
      </c>
      <c r="H151" s="152" t="s">
        <v>20</v>
      </c>
      <c r="I151" s="152">
        <v>630</v>
      </c>
      <c r="J151" s="151"/>
      <c r="K151" s="30">
        <v>0</v>
      </c>
    </row>
    <row r="152" spans="1:11" ht="15" customHeight="1">
      <c r="A152" s="139"/>
      <c r="B152" s="150" t="s">
        <v>232</v>
      </c>
      <c r="C152" s="151"/>
      <c r="D152" s="12" t="s">
        <v>222</v>
      </c>
      <c r="E152" s="12" t="s">
        <v>220</v>
      </c>
      <c r="F152" s="30" t="s">
        <v>39</v>
      </c>
      <c r="G152" s="30" t="s">
        <v>19</v>
      </c>
      <c r="H152" s="152" t="s">
        <v>20</v>
      </c>
      <c r="I152" s="153" t="s">
        <v>143</v>
      </c>
      <c r="J152" s="151"/>
      <c r="K152" s="30">
        <v>0</v>
      </c>
    </row>
    <row r="153" spans="1:11" ht="15" customHeight="1">
      <c r="A153" s="139"/>
      <c r="B153" s="150" t="s">
        <v>233</v>
      </c>
      <c r="C153" s="151"/>
      <c r="D153" s="12" t="s">
        <v>222</v>
      </c>
      <c r="E153" s="12" t="s">
        <v>220</v>
      </c>
      <c r="F153" s="30" t="s">
        <v>39</v>
      </c>
      <c r="G153" s="30" t="s">
        <v>19</v>
      </c>
      <c r="H153" s="152" t="s">
        <v>20</v>
      </c>
      <c r="I153" s="152">
        <v>265</v>
      </c>
      <c r="J153" s="151"/>
      <c r="K153" s="30">
        <v>0</v>
      </c>
    </row>
    <row r="154" spans="1:11" ht="15" customHeight="1">
      <c r="A154" s="5"/>
      <c r="B154" s="156" t="s">
        <v>234</v>
      </c>
      <c r="C154" s="157"/>
      <c r="D154" s="12" t="s">
        <v>235</v>
      </c>
      <c r="E154" s="12"/>
      <c r="F154" s="29"/>
      <c r="G154" s="30" t="s">
        <v>19</v>
      </c>
      <c r="H154" s="158" t="s">
        <v>22</v>
      </c>
      <c r="I154" s="158">
        <v>450</v>
      </c>
      <c r="J154" s="159"/>
      <c r="K154" s="30">
        <v>0</v>
      </c>
    </row>
    <row r="155" spans="1:11" ht="15" customHeight="1">
      <c r="A155" s="5"/>
      <c r="B155" s="160" t="s">
        <v>236</v>
      </c>
      <c r="C155" s="56"/>
      <c r="D155" s="57" t="s">
        <v>47</v>
      </c>
      <c r="E155" s="135" t="s">
        <v>237</v>
      </c>
      <c r="F155" s="59" t="s">
        <v>238</v>
      </c>
      <c r="G155" s="60" t="s">
        <v>19</v>
      </c>
      <c r="H155" s="136" t="s">
        <v>20</v>
      </c>
      <c r="I155" s="136">
        <v>235</v>
      </c>
      <c r="J155" s="60"/>
      <c r="K155" s="60">
        <f t="shared" ref="K155:K160" si="22">I155*J155</f>
        <v>0</v>
      </c>
    </row>
    <row r="156" spans="1:11" ht="15" customHeight="1">
      <c r="A156" s="5"/>
      <c r="B156" s="161" t="s">
        <v>239</v>
      </c>
      <c r="C156" s="56"/>
      <c r="D156" s="57" t="s">
        <v>47</v>
      </c>
      <c r="E156" s="135"/>
      <c r="F156" s="59" t="s">
        <v>238</v>
      </c>
      <c r="G156" s="60" t="s">
        <v>19</v>
      </c>
      <c r="H156" s="136" t="s">
        <v>20</v>
      </c>
      <c r="I156" s="136">
        <v>150</v>
      </c>
      <c r="J156" s="60"/>
      <c r="K156" s="60">
        <f t="shared" si="22"/>
        <v>0</v>
      </c>
    </row>
    <row r="157" spans="1:11" ht="15" customHeight="1">
      <c r="A157" s="139"/>
      <c r="B157" s="150" t="s">
        <v>240</v>
      </c>
      <c r="C157" s="151"/>
      <c r="D157" s="12" t="s">
        <v>219</v>
      </c>
      <c r="E157" s="12" t="s">
        <v>241</v>
      </c>
      <c r="F157" s="30" t="s">
        <v>39</v>
      </c>
      <c r="G157" s="30" t="s">
        <v>19</v>
      </c>
      <c r="H157" s="152" t="s">
        <v>20</v>
      </c>
      <c r="I157" s="152">
        <v>400</v>
      </c>
      <c r="J157" s="151"/>
      <c r="K157" s="30">
        <f t="shared" si="22"/>
        <v>0</v>
      </c>
    </row>
    <row r="158" spans="1:11" ht="15" customHeight="1">
      <c r="A158" s="139"/>
      <c r="B158" s="156" t="s">
        <v>242</v>
      </c>
      <c r="C158" s="151"/>
      <c r="D158" s="12" t="s">
        <v>243</v>
      </c>
      <c r="E158" s="12" t="s">
        <v>220</v>
      </c>
      <c r="F158" s="30" t="s">
        <v>39</v>
      </c>
      <c r="G158" s="30" t="s">
        <v>244</v>
      </c>
      <c r="H158" s="152" t="s">
        <v>20</v>
      </c>
      <c r="I158" s="153">
        <v>195</v>
      </c>
      <c r="J158" s="151"/>
      <c r="K158" s="30">
        <f t="shared" si="22"/>
        <v>0</v>
      </c>
    </row>
    <row r="159" spans="1:11" ht="15" customHeight="1">
      <c r="A159" s="139"/>
      <c r="B159" s="150" t="s">
        <v>245</v>
      </c>
      <c r="C159" s="151"/>
      <c r="D159" s="12" t="s">
        <v>222</v>
      </c>
      <c r="E159" s="12" t="s">
        <v>241</v>
      </c>
      <c r="F159" s="30" t="s">
        <v>39</v>
      </c>
      <c r="G159" s="30" t="s">
        <v>19</v>
      </c>
      <c r="H159" s="152" t="s">
        <v>20</v>
      </c>
      <c r="I159" s="152">
        <v>266</v>
      </c>
      <c r="J159" s="151"/>
      <c r="K159" s="30">
        <f t="shared" si="22"/>
        <v>0</v>
      </c>
    </row>
    <row r="160" spans="1:11" ht="15" customHeight="1">
      <c r="A160" s="139"/>
      <c r="B160" s="150" t="s">
        <v>246</v>
      </c>
      <c r="C160" s="151"/>
      <c r="D160" s="12" t="s">
        <v>247</v>
      </c>
      <c r="E160" s="12"/>
      <c r="F160" s="30" t="s">
        <v>39</v>
      </c>
      <c r="G160" s="30" t="s">
        <v>19</v>
      </c>
      <c r="H160" s="152" t="s">
        <v>20</v>
      </c>
      <c r="I160" s="152">
        <v>329</v>
      </c>
      <c r="J160" s="151"/>
      <c r="K160" s="30">
        <f t="shared" si="22"/>
        <v>0</v>
      </c>
    </row>
    <row r="161" spans="1:11" ht="15" customHeight="1">
      <c r="A161" s="139"/>
      <c r="B161" s="150" t="s">
        <v>248</v>
      </c>
      <c r="C161" s="151"/>
      <c r="D161" s="12" t="s">
        <v>219</v>
      </c>
      <c r="E161" s="12" t="s">
        <v>241</v>
      </c>
      <c r="F161" s="30" t="s">
        <v>39</v>
      </c>
      <c r="G161" s="30" t="s">
        <v>19</v>
      </c>
      <c r="H161" s="152" t="s">
        <v>20</v>
      </c>
      <c r="I161" s="153">
        <v>285</v>
      </c>
      <c r="J161" s="151"/>
      <c r="K161" s="30">
        <v>0</v>
      </c>
    </row>
    <row r="162" spans="1:11" ht="15" customHeight="1">
      <c r="A162" s="139"/>
      <c r="B162" s="150" t="s">
        <v>249</v>
      </c>
      <c r="C162" s="151"/>
      <c r="D162" s="156" t="s">
        <v>250</v>
      </c>
      <c r="E162" s="12"/>
      <c r="F162" s="30" t="s">
        <v>39</v>
      </c>
      <c r="G162" s="30" t="s">
        <v>19</v>
      </c>
      <c r="H162" s="152" t="s">
        <v>22</v>
      </c>
      <c r="I162" s="152" t="s">
        <v>143</v>
      </c>
      <c r="J162" s="151"/>
      <c r="K162" s="30">
        <v>0</v>
      </c>
    </row>
    <row r="163" spans="1:11" ht="15" customHeight="1">
      <c r="A163" s="139"/>
      <c r="B163" s="150" t="s">
        <v>251</v>
      </c>
      <c r="C163" s="151"/>
      <c r="D163" s="162" t="s">
        <v>252</v>
      </c>
      <c r="E163" s="12"/>
      <c r="F163" s="30" t="s">
        <v>39</v>
      </c>
      <c r="G163" s="30" t="s">
        <v>19</v>
      </c>
      <c r="H163" s="152" t="s">
        <v>20</v>
      </c>
      <c r="I163" s="152" t="s">
        <v>143</v>
      </c>
      <c r="J163" s="151"/>
      <c r="K163" s="30">
        <v>0</v>
      </c>
    </row>
    <row r="164" spans="1:11" ht="15" customHeight="1">
      <c r="A164" s="139"/>
      <c r="B164" s="163" t="s">
        <v>253</v>
      </c>
      <c r="C164" s="164"/>
      <c r="D164" s="165" t="s">
        <v>254</v>
      </c>
      <c r="E164" s="135"/>
      <c r="F164" s="60" t="s">
        <v>39</v>
      </c>
      <c r="G164" s="60" t="s">
        <v>19</v>
      </c>
      <c r="H164" s="166" t="s">
        <v>22</v>
      </c>
      <c r="I164" s="166">
        <v>2500</v>
      </c>
      <c r="J164" s="164"/>
      <c r="K164" s="60">
        <f t="shared" ref="K164:K167" si="23">I164*J164</f>
        <v>0</v>
      </c>
    </row>
    <row r="165" spans="1:11" ht="15" customHeight="1">
      <c r="A165" s="139"/>
      <c r="B165" s="150" t="s">
        <v>255</v>
      </c>
      <c r="C165" s="151"/>
      <c r="D165" s="156"/>
      <c r="E165" s="12"/>
      <c r="F165" s="30" t="s">
        <v>39</v>
      </c>
      <c r="G165" s="30" t="s">
        <v>19</v>
      </c>
      <c r="H165" s="152" t="s">
        <v>22</v>
      </c>
      <c r="I165" s="152">
        <v>515</v>
      </c>
      <c r="J165" s="151"/>
      <c r="K165" s="30">
        <f t="shared" si="23"/>
        <v>0</v>
      </c>
    </row>
    <row r="166" spans="1:11" ht="15" customHeight="1">
      <c r="A166" s="139"/>
      <c r="B166" s="150" t="s">
        <v>256</v>
      </c>
      <c r="C166" s="151"/>
      <c r="D166" s="167" t="s">
        <v>257</v>
      </c>
      <c r="E166" s="168"/>
      <c r="F166" s="169" t="s">
        <v>39</v>
      </c>
      <c r="G166" s="30" t="s">
        <v>19</v>
      </c>
      <c r="H166" s="152" t="s">
        <v>22</v>
      </c>
      <c r="I166" s="152">
        <v>750</v>
      </c>
      <c r="J166" s="151"/>
      <c r="K166" s="30">
        <f t="shared" si="23"/>
        <v>0</v>
      </c>
    </row>
    <row r="167" spans="1:11" ht="15" customHeight="1">
      <c r="A167" s="139"/>
      <c r="B167" s="170" t="s">
        <v>258</v>
      </c>
      <c r="C167" s="106"/>
      <c r="D167" s="171" t="s">
        <v>259</v>
      </c>
      <c r="E167" s="172"/>
      <c r="F167" s="91" t="s">
        <v>71</v>
      </c>
      <c r="G167" s="11" t="s">
        <v>19</v>
      </c>
      <c r="H167" s="105" t="s">
        <v>22</v>
      </c>
      <c r="I167" s="105">
        <v>650</v>
      </c>
      <c r="J167" s="106"/>
      <c r="K167" s="11">
        <f t="shared" si="23"/>
        <v>0</v>
      </c>
    </row>
    <row r="168" spans="1:11" ht="15" customHeight="1">
      <c r="A168" s="139"/>
      <c r="B168" s="170" t="s">
        <v>260</v>
      </c>
      <c r="C168" s="106"/>
      <c r="D168" s="171" t="s">
        <v>259</v>
      </c>
      <c r="E168" s="11"/>
      <c r="F168" s="91" t="s">
        <v>71</v>
      </c>
      <c r="G168" s="11" t="s">
        <v>19</v>
      </c>
      <c r="H168" s="105" t="s">
        <v>22</v>
      </c>
      <c r="I168" s="105">
        <v>800</v>
      </c>
      <c r="J168" s="106"/>
      <c r="K168" s="11">
        <v>0</v>
      </c>
    </row>
    <row r="169" spans="1:11" ht="15" customHeight="1">
      <c r="A169" s="139"/>
      <c r="B169" s="150" t="s">
        <v>261</v>
      </c>
      <c r="C169" s="151"/>
      <c r="D169" s="156" t="s">
        <v>262</v>
      </c>
      <c r="E169" s="12"/>
      <c r="F169" s="30" t="s">
        <v>39</v>
      </c>
      <c r="G169" s="30" t="s">
        <v>19</v>
      </c>
      <c r="H169" s="152" t="s">
        <v>22</v>
      </c>
      <c r="I169" s="152">
        <v>365</v>
      </c>
      <c r="J169" s="151"/>
      <c r="K169" s="30">
        <f>I169*J169</f>
        <v>0</v>
      </c>
    </row>
    <row r="170" spans="1:11" ht="15" customHeight="1">
      <c r="A170" s="139"/>
      <c r="B170" s="173" t="s">
        <v>263</v>
      </c>
      <c r="C170" s="157"/>
      <c r="D170" s="156"/>
      <c r="E170" s="12"/>
      <c r="F170" s="29" t="s">
        <v>71</v>
      </c>
      <c r="G170" s="30" t="s">
        <v>19</v>
      </c>
      <c r="H170" s="13" t="s">
        <v>22</v>
      </c>
      <c r="I170" s="174">
        <v>1600</v>
      </c>
      <c r="J170" s="151"/>
      <c r="K170" s="30">
        <v>0</v>
      </c>
    </row>
    <row r="171" spans="1:11" ht="15" customHeight="1">
      <c r="A171" s="139"/>
      <c r="B171" s="173" t="s">
        <v>264</v>
      </c>
      <c r="C171" s="27"/>
      <c r="D171" s="156" t="s">
        <v>265</v>
      </c>
      <c r="E171" s="12"/>
      <c r="F171" s="29" t="s">
        <v>71</v>
      </c>
      <c r="G171" s="30" t="s">
        <v>19</v>
      </c>
      <c r="H171" s="13" t="s">
        <v>22</v>
      </c>
      <c r="I171" s="174">
        <v>2000</v>
      </c>
      <c r="J171" s="151"/>
      <c r="K171" s="30">
        <v>0</v>
      </c>
    </row>
    <row r="172" spans="1:11" ht="15" customHeight="1">
      <c r="A172" s="139"/>
      <c r="B172" s="175" t="s">
        <v>266</v>
      </c>
      <c r="C172" s="14"/>
      <c r="D172" s="176" t="s">
        <v>267</v>
      </c>
      <c r="E172" s="16"/>
      <c r="F172" s="10" t="s">
        <v>71</v>
      </c>
      <c r="G172" s="11" t="s">
        <v>19</v>
      </c>
      <c r="H172" s="13" t="s">
        <v>22</v>
      </c>
      <c r="I172" s="174">
        <v>2100</v>
      </c>
      <c r="J172" s="177"/>
      <c r="K172" s="11">
        <v>0</v>
      </c>
    </row>
    <row r="173" spans="1:11" ht="15" customHeight="1">
      <c r="A173" s="139"/>
      <c r="B173" s="150" t="s">
        <v>268</v>
      </c>
      <c r="C173" s="151"/>
      <c r="D173" s="156" t="s">
        <v>269</v>
      </c>
      <c r="E173" s="16"/>
      <c r="F173" s="30" t="s">
        <v>39</v>
      </c>
      <c r="G173" s="30" t="s">
        <v>19</v>
      </c>
      <c r="H173" s="152" t="s">
        <v>22</v>
      </c>
      <c r="I173" s="152">
        <v>235</v>
      </c>
      <c r="J173" s="151"/>
      <c r="K173" s="30">
        <v>0</v>
      </c>
    </row>
    <row r="174" spans="1:11" ht="15" customHeight="1">
      <c r="A174" s="139"/>
      <c r="B174" s="150" t="str">
        <f>HYPERLINK("http://www.amare-moscow.ru/catalog/file_ryby_/mintay_file_b_k_s_m_v_u_ports_don_kreveton_0_650kg_8sht_rossiya/","Минтай филе б/к с/м   в/у")</f>
        <v>Минтай филе б/к с/м   в/у</v>
      </c>
      <c r="C174" s="27"/>
      <c r="D174" s="28" t="s">
        <v>128</v>
      </c>
      <c r="E174" s="12" t="s">
        <v>270</v>
      </c>
      <c r="F174" s="29" t="s">
        <v>39</v>
      </c>
      <c r="G174" s="30" t="s">
        <v>19</v>
      </c>
      <c r="H174" s="13" t="s">
        <v>22</v>
      </c>
      <c r="I174" s="47">
        <v>420</v>
      </c>
      <c r="J174" s="151"/>
      <c r="K174" s="30">
        <f t="shared" ref="K174:K176" si="24">I174*J174</f>
        <v>0</v>
      </c>
    </row>
    <row r="175" spans="1:11" ht="15" customHeight="1">
      <c r="A175" s="139"/>
      <c r="B175" s="156" t="s">
        <v>271</v>
      </c>
      <c r="C175" s="157"/>
      <c r="D175" s="28" t="s">
        <v>272</v>
      </c>
      <c r="E175" s="12"/>
      <c r="F175" s="29" t="s">
        <v>39</v>
      </c>
      <c r="G175" s="30" t="s">
        <v>19</v>
      </c>
      <c r="H175" s="17" t="s">
        <v>22</v>
      </c>
      <c r="I175" s="174">
        <v>570</v>
      </c>
      <c r="J175" s="151"/>
      <c r="K175" s="30">
        <f t="shared" si="24"/>
        <v>0</v>
      </c>
    </row>
    <row r="176" spans="1:11" ht="15" customHeight="1">
      <c r="A176" s="139"/>
      <c r="B176" s="150" t="s">
        <v>273</v>
      </c>
      <c r="C176" s="151"/>
      <c r="D176" s="156" t="s">
        <v>274</v>
      </c>
      <c r="E176" s="12"/>
      <c r="F176" s="30" t="s">
        <v>71</v>
      </c>
      <c r="G176" s="30" t="s">
        <v>19</v>
      </c>
      <c r="H176" s="152" t="s">
        <v>22</v>
      </c>
      <c r="I176" s="152">
        <v>395</v>
      </c>
      <c r="J176" s="151"/>
      <c r="K176" s="30">
        <f t="shared" si="24"/>
        <v>0</v>
      </c>
    </row>
    <row r="177" spans="1:11" ht="15" customHeight="1">
      <c r="A177" s="139"/>
      <c r="B177" s="150" t="s">
        <v>275</v>
      </c>
      <c r="C177" s="151"/>
      <c r="D177" s="156" t="s">
        <v>276</v>
      </c>
      <c r="E177" s="12"/>
      <c r="F177" s="30" t="s">
        <v>39</v>
      </c>
      <c r="G177" s="30" t="s">
        <v>19</v>
      </c>
      <c r="H177" s="152" t="s">
        <v>22</v>
      </c>
      <c r="I177" s="152">
        <v>650</v>
      </c>
      <c r="J177" s="151"/>
      <c r="K177" s="30">
        <v>0</v>
      </c>
    </row>
    <row r="178" spans="1:11" ht="15" customHeight="1">
      <c r="A178" s="139"/>
      <c r="B178" s="150" t="s">
        <v>277</v>
      </c>
      <c r="C178" s="4"/>
      <c r="D178" s="178" t="s">
        <v>278</v>
      </c>
      <c r="E178" s="179"/>
      <c r="F178" s="30" t="s">
        <v>39</v>
      </c>
      <c r="G178" s="30" t="s">
        <v>19</v>
      </c>
      <c r="H178" s="152" t="s">
        <v>22</v>
      </c>
      <c r="I178" s="152" t="s">
        <v>143</v>
      </c>
      <c r="J178" s="4"/>
      <c r="K178" s="30">
        <v>0</v>
      </c>
    </row>
    <row r="179" spans="1:11" ht="15" customHeight="1">
      <c r="A179" s="139"/>
      <c r="B179" s="150" t="s">
        <v>279</v>
      </c>
      <c r="C179" s="4"/>
      <c r="D179" s="178" t="s">
        <v>152</v>
      </c>
      <c r="E179" s="179"/>
      <c r="F179" s="30" t="s">
        <v>39</v>
      </c>
      <c r="G179" s="30" t="s">
        <v>19</v>
      </c>
      <c r="H179" s="152" t="s">
        <v>22</v>
      </c>
      <c r="I179" s="152">
        <v>1040</v>
      </c>
      <c r="J179" s="4"/>
      <c r="K179" s="30">
        <f t="shared" ref="K179:K180" si="25">I179*J179</f>
        <v>0</v>
      </c>
    </row>
    <row r="180" spans="1:11" ht="15" customHeight="1">
      <c r="A180" s="139"/>
      <c r="B180" s="150" t="s">
        <v>280</v>
      </c>
      <c r="C180" s="4"/>
      <c r="D180" s="178" t="s">
        <v>281</v>
      </c>
      <c r="E180" s="179"/>
      <c r="F180" s="30" t="s">
        <v>39</v>
      </c>
      <c r="G180" s="30" t="s">
        <v>19</v>
      </c>
      <c r="H180" s="152" t="s">
        <v>124</v>
      </c>
      <c r="I180" s="152">
        <v>750</v>
      </c>
      <c r="J180" s="4"/>
      <c r="K180" s="30">
        <f t="shared" si="25"/>
        <v>0</v>
      </c>
    </row>
    <row r="181" spans="1:11" ht="15" customHeight="1">
      <c r="A181" s="139"/>
      <c r="B181" s="156" t="s">
        <v>282</v>
      </c>
      <c r="C181" s="179"/>
      <c r="D181" s="156" t="s">
        <v>269</v>
      </c>
      <c r="E181" s="179"/>
      <c r="F181" s="30" t="s">
        <v>39</v>
      </c>
      <c r="G181" s="30" t="s">
        <v>19</v>
      </c>
      <c r="H181" s="145" t="s">
        <v>22</v>
      </c>
      <c r="I181" s="180">
        <v>610</v>
      </c>
      <c r="J181" s="179"/>
      <c r="K181" s="30">
        <v>0</v>
      </c>
    </row>
    <row r="182" spans="1:11" ht="15" customHeight="1">
      <c r="A182" s="139"/>
      <c r="B182" s="150" t="s">
        <v>283</v>
      </c>
      <c r="C182" s="179"/>
      <c r="D182" s="156" t="s">
        <v>269</v>
      </c>
      <c r="E182" s="181"/>
      <c r="F182" s="30" t="s">
        <v>39</v>
      </c>
      <c r="G182" s="30" t="s">
        <v>19</v>
      </c>
      <c r="H182" s="145" t="s">
        <v>22</v>
      </c>
      <c r="I182" s="152" t="s">
        <v>143</v>
      </c>
      <c r="J182" s="179"/>
      <c r="K182" s="30">
        <v>0</v>
      </c>
    </row>
    <row r="183" spans="1:11" ht="15" customHeight="1">
      <c r="A183" s="5"/>
      <c r="B183" s="150" t="str">
        <f>HYPERLINK("http://www.amare-moscow.ru/catalog/file_ryby_/treska_file_b_k_s_m_10_kg_rossiya/","Треска филе б/к с/м ву")</f>
        <v>Треска филе б/к с/м ву</v>
      </c>
      <c r="C183" s="27"/>
      <c r="D183" s="28" t="s">
        <v>284</v>
      </c>
      <c r="E183" s="12" t="s">
        <v>270</v>
      </c>
      <c r="F183" s="29" t="s">
        <v>39</v>
      </c>
      <c r="G183" s="30" t="s">
        <v>19</v>
      </c>
      <c r="H183" s="13" t="s">
        <v>22</v>
      </c>
      <c r="I183" s="47">
        <v>480</v>
      </c>
      <c r="J183" s="30"/>
      <c r="K183" s="30">
        <v>0</v>
      </c>
    </row>
    <row r="184" spans="1:11" ht="15" customHeight="1">
      <c r="A184" s="5"/>
      <c r="B184" s="182" t="s">
        <v>285</v>
      </c>
      <c r="C184" s="27"/>
      <c r="D184" s="28" t="s">
        <v>286</v>
      </c>
      <c r="E184" s="12"/>
      <c r="F184" s="29" t="s">
        <v>39</v>
      </c>
      <c r="G184" s="30" t="s">
        <v>244</v>
      </c>
      <c r="H184" s="13" t="s">
        <v>22</v>
      </c>
      <c r="I184" s="47">
        <v>520</v>
      </c>
      <c r="J184" s="30"/>
      <c r="K184" s="30">
        <v>0</v>
      </c>
    </row>
    <row r="185" spans="1:11" ht="15" customHeight="1">
      <c r="A185" s="139"/>
      <c r="B185" s="183" t="s">
        <v>287</v>
      </c>
      <c r="C185" s="151"/>
      <c r="D185" s="183" t="s">
        <v>288</v>
      </c>
      <c r="E185" s="85"/>
      <c r="F185" s="184" t="s">
        <v>39</v>
      </c>
      <c r="G185" s="184" t="s">
        <v>19</v>
      </c>
      <c r="H185" s="153" t="s">
        <v>22</v>
      </c>
      <c r="I185" s="153">
        <v>290</v>
      </c>
      <c r="J185" s="151"/>
      <c r="K185" s="30">
        <f t="shared" ref="K185:K186" si="26">I185*J185</f>
        <v>0</v>
      </c>
    </row>
    <row r="186" spans="1:11" ht="15" customHeight="1">
      <c r="A186" s="139"/>
      <c r="B186" s="160" t="s">
        <v>289</v>
      </c>
      <c r="C186" s="164"/>
      <c r="D186" s="160" t="s">
        <v>290</v>
      </c>
      <c r="E186" s="135" t="s">
        <v>291</v>
      </c>
      <c r="F186" s="60" t="s">
        <v>39</v>
      </c>
      <c r="G186" s="60" t="s">
        <v>19</v>
      </c>
      <c r="H186" s="166" t="s">
        <v>22</v>
      </c>
      <c r="I186" s="185">
        <v>665</v>
      </c>
      <c r="J186" s="164"/>
      <c r="K186" s="60">
        <f t="shared" si="26"/>
        <v>0</v>
      </c>
    </row>
    <row r="187" spans="1:11" ht="15" customHeight="1">
      <c r="A187" s="139"/>
      <c r="B187" s="150" t="s">
        <v>292</v>
      </c>
      <c r="C187" s="179"/>
      <c r="D187" s="156" t="s">
        <v>293</v>
      </c>
      <c r="E187" s="179"/>
      <c r="F187" s="30" t="s">
        <v>39</v>
      </c>
      <c r="G187" s="30" t="s">
        <v>19</v>
      </c>
      <c r="H187" s="145" t="s">
        <v>22</v>
      </c>
      <c r="I187" s="180">
        <v>645</v>
      </c>
      <c r="J187" s="146"/>
      <c r="K187" s="30">
        <v>0</v>
      </c>
    </row>
    <row r="188" spans="1:11" ht="15" customHeight="1">
      <c r="A188" s="186"/>
      <c r="B188" s="150" t="s">
        <v>294</v>
      </c>
      <c r="C188" s="151"/>
      <c r="D188" s="156" t="s">
        <v>293</v>
      </c>
      <c r="E188" s="12"/>
      <c r="F188" s="30" t="s">
        <v>39</v>
      </c>
      <c r="G188" s="30" t="s">
        <v>19</v>
      </c>
      <c r="H188" s="152" t="s">
        <v>22</v>
      </c>
      <c r="I188" s="152">
        <v>340</v>
      </c>
      <c r="J188" s="151"/>
      <c r="K188" s="30">
        <f>I188*J188</f>
        <v>0</v>
      </c>
    </row>
    <row r="189" spans="1:11" ht="15" customHeight="1">
      <c r="A189" s="186"/>
      <c r="B189" s="183" t="s">
        <v>295</v>
      </c>
      <c r="C189" s="151"/>
      <c r="D189" s="183" t="s">
        <v>293</v>
      </c>
      <c r="E189" s="85"/>
      <c r="F189" s="184" t="s">
        <v>39</v>
      </c>
      <c r="G189" s="184" t="s">
        <v>19</v>
      </c>
      <c r="H189" s="153" t="s">
        <v>22</v>
      </c>
      <c r="I189" s="153">
        <v>515</v>
      </c>
      <c r="J189" s="151"/>
      <c r="K189" s="30">
        <v>0</v>
      </c>
    </row>
    <row r="190" spans="1:11" ht="15" customHeight="1">
      <c r="A190" s="186"/>
      <c r="B190" s="156" t="s">
        <v>296</v>
      </c>
      <c r="C190" s="151"/>
      <c r="D190" s="187" t="s">
        <v>297</v>
      </c>
      <c r="E190" s="12"/>
      <c r="F190" s="30" t="s">
        <v>39</v>
      </c>
      <c r="G190" s="30" t="s">
        <v>19</v>
      </c>
      <c r="H190" s="188" t="s">
        <v>22</v>
      </c>
      <c r="I190" s="145">
        <v>460</v>
      </c>
      <c r="J190" s="189"/>
      <c r="K190" s="30">
        <f t="shared" ref="K190:K194" si="27">I190*J190</f>
        <v>0</v>
      </c>
    </row>
    <row r="191" spans="1:11" ht="15" customHeight="1">
      <c r="A191" s="186"/>
      <c r="B191" s="170" t="s">
        <v>298</v>
      </c>
      <c r="C191" s="7"/>
      <c r="D191" s="67" t="s">
        <v>216</v>
      </c>
      <c r="E191" s="12"/>
      <c r="F191" s="10" t="s">
        <v>299</v>
      </c>
      <c r="G191" s="11" t="s">
        <v>19</v>
      </c>
      <c r="H191" s="138" t="s">
        <v>22</v>
      </c>
      <c r="I191" s="190">
        <v>430</v>
      </c>
      <c r="J191" s="91"/>
      <c r="K191" s="11">
        <f t="shared" si="27"/>
        <v>0</v>
      </c>
    </row>
    <row r="192" spans="1:11" ht="15" customHeight="1">
      <c r="A192" s="186"/>
      <c r="B192" s="170" t="s">
        <v>300</v>
      </c>
      <c r="C192" s="7"/>
      <c r="D192" s="67" t="s">
        <v>301</v>
      </c>
      <c r="E192" s="12"/>
      <c r="F192" s="10" t="s">
        <v>299</v>
      </c>
      <c r="G192" s="11" t="s">
        <v>19</v>
      </c>
      <c r="H192" s="138" t="s">
        <v>22</v>
      </c>
      <c r="I192" s="190">
        <v>580</v>
      </c>
      <c r="J192" s="91"/>
      <c r="K192" s="11">
        <f t="shared" si="27"/>
        <v>0</v>
      </c>
    </row>
    <row r="193" spans="1:11" ht="15" customHeight="1">
      <c r="A193" s="186"/>
      <c r="B193" s="191" t="s">
        <v>302</v>
      </c>
      <c r="C193" s="192"/>
      <c r="D193" s="87"/>
      <c r="E193" s="85"/>
      <c r="F193" s="193"/>
      <c r="G193" s="11" t="s">
        <v>19</v>
      </c>
      <c r="H193" s="190" t="s">
        <v>124</v>
      </c>
      <c r="I193" s="190">
        <v>980</v>
      </c>
      <c r="J193" s="91"/>
      <c r="K193" s="11">
        <f t="shared" si="27"/>
        <v>0</v>
      </c>
    </row>
    <row r="194" spans="1:11" ht="15" customHeight="1">
      <c r="A194" s="186"/>
      <c r="B194" s="191" t="s">
        <v>303</v>
      </c>
      <c r="C194" s="192"/>
      <c r="D194" s="88" t="s">
        <v>304</v>
      </c>
      <c r="E194" s="85"/>
      <c r="F194" s="85"/>
      <c r="G194" s="88" t="s">
        <v>305</v>
      </c>
      <c r="H194" s="47" t="s">
        <v>22</v>
      </c>
      <c r="I194" s="47">
        <v>875</v>
      </c>
      <c r="J194" s="11"/>
      <c r="K194" s="11">
        <f t="shared" si="27"/>
        <v>0</v>
      </c>
    </row>
    <row r="195" spans="1:11" ht="18.75" customHeight="1">
      <c r="A195" s="467" t="s">
        <v>306</v>
      </c>
      <c r="B195" s="457"/>
      <c r="C195" s="457"/>
      <c r="D195" s="457"/>
      <c r="E195" s="457"/>
      <c r="F195" s="457"/>
      <c r="G195" s="457"/>
      <c r="H195" s="457"/>
      <c r="I195" s="457"/>
      <c r="J195" s="457"/>
      <c r="K195" s="459"/>
    </row>
    <row r="196" spans="1:11" ht="37.5" customHeight="1">
      <c r="A196" s="5"/>
      <c r="B196" s="195" t="s">
        <v>307</v>
      </c>
      <c r="C196" s="69"/>
      <c r="D196" s="70" t="s">
        <v>308</v>
      </c>
      <c r="E196" s="71" t="s">
        <v>204</v>
      </c>
      <c r="F196" s="72" t="s">
        <v>71</v>
      </c>
      <c r="G196" s="73" t="s">
        <v>19</v>
      </c>
      <c r="H196" s="196" t="s">
        <v>20</v>
      </c>
      <c r="I196" s="197">
        <v>197</v>
      </c>
      <c r="J196" s="198"/>
      <c r="K196" s="73"/>
    </row>
    <row r="197" spans="1:11" ht="37.5" customHeight="1">
      <c r="A197" s="5"/>
      <c r="B197" s="195" t="s">
        <v>309</v>
      </c>
      <c r="C197" s="69"/>
      <c r="D197" s="70" t="s">
        <v>308</v>
      </c>
      <c r="E197" s="71" t="s">
        <v>204</v>
      </c>
      <c r="F197" s="72" t="s">
        <v>71</v>
      </c>
      <c r="G197" s="73" t="s">
        <v>19</v>
      </c>
      <c r="H197" s="196" t="s">
        <v>20</v>
      </c>
      <c r="I197" s="197">
        <v>210</v>
      </c>
      <c r="J197" s="198"/>
      <c r="K197" s="73"/>
    </row>
    <row r="198" spans="1:11" ht="15" customHeight="1">
      <c r="A198" s="5"/>
      <c r="B198" s="199" t="s">
        <v>310</v>
      </c>
      <c r="C198" s="69"/>
      <c r="D198" s="70" t="s">
        <v>311</v>
      </c>
      <c r="E198" s="71" t="s">
        <v>204</v>
      </c>
      <c r="F198" s="72" t="s">
        <v>71</v>
      </c>
      <c r="G198" s="73" t="s">
        <v>19</v>
      </c>
      <c r="H198" s="196" t="s">
        <v>20</v>
      </c>
      <c r="I198" s="197">
        <v>184</v>
      </c>
      <c r="J198" s="198"/>
      <c r="K198" s="73"/>
    </row>
    <row r="199" spans="1:11" ht="30" customHeight="1">
      <c r="A199" s="5"/>
      <c r="B199" s="195" t="s">
        <v>312</v>
      </c>
      <c r="C199" s="69"/>
      <c r="D199" s="70" t="s">
        <v>311</v>
      </c>
      <c r="E199" s="71" t="s">
        <v>204</v>
      </c>
      <c r="F199" s="72" t="s">
        <v>71</v>
      </c>
      <c r="G199" s="73" t="s">
        <v>19</v>
      </c>
      <c r="H199" s="196" t="s">
        <v>20</v>
      </c>
      <c r="I199" s="197">
        <v>215</v>
      </c>
      <c r="J199" s="198"/>
      <c r="K199" s="73"/>
    </row>
    <row r="200" spans="1:11" ht="30" customHeight="1">
      <c r="A200" s="5"/>
      <c r="B200" s="195" t="s">
        <v>313</v>
      </c>
      <c r="C200" s="69"/>
      <c r="D200" s="70" t="s">
        <v>314</v>
      </c>
      <c r="E200" s="71" t="s">
        <v>204</v>
      </c>
      <c r="F200" s="72" t="s">
        <v>71</v>
      </c>
      <c r="G200" s="73" t="s">
        <v>19</v>
      </c>
      <c r="H200" s="196" t="s">
        <v>20</v>
      </c>
      <c r="I200" s="197">
        <v>182</v>
      </c>
      <c r="J200" s="198"/>
      <c r="K200" s="73"/>
    </row>
    <row r="201" spans="1:11" ht="30" customHeight="1">
      <c r="A201" s="5"/>
      <c r="B201" s="195" t="s">
        <v>315</v>
      </c>
      <c r="C201" s="69"/>
      <c r="D201" s="70" t="s">
        <v>316</v>
      </c>
      <c r="E201" s="71"/>
      <c r="F201" s="72" t="s">
        <v>71</v>
      </c>
      <c r="G201" s="73" t="s">
        <v>19</v>
      </c>
      <c r="H201" s="196" t="s">
        <v>20</v>
      </c>
      <c r="I201" s="197">
        <v>115</v>
      </c>
      <c r="J201" s="198"/>
      <c r="K201" s="73"/>
    </row>
    <row r="202" spans="1:11" ht="30" customHeight="1">
      <c r="A202" s="5"/>
      <c r="B202" s="195" t="s">
        <v>317</v>
      </c>
      <c r="C202" s="69"/>
      <c r="D202" s="70" t="s">
        <v>316</v>
      </c>
      <c r="E202" s="71"/>
      <c r="F202" s="72" t="s">
        <v>71</v>
      </c>
      <c r="G202" s="73" t="s">
        <v>19</v>
      </c>
      <c r="H202" s="196" t="s">
        <v>20</v>
      </c>
      <c r="I202" s="197">
        <v>200</v>
      </c>
      <c r="J202" s="198"/>
      <c r="K202" s="73"/>
    </row>
    <row r="203" spans="1:11">
      <c r="A203" s="468" t="str">
        <f>HYPERLINK("http://www.amare-moscow.ru/catalog/krevetki/","Рыба слабосоленая и холодного копчения")</f>
        <v>Рыба слабосоленая и холодного копчения</v>
      </c>
      <c r="B203" s="457"/>
      <c r="C203" s="457"/>
      <c r="D203" s="457"/>
      <c r="E203" s="457"/>
      <c r="F203" s="457"/>
      <c r="G203" s="457"/>
      <c r="H203" s="457"/>
      <c r="I203" s="457"/>
      <c r="J203" s="457"/>
      <c r="K203" s="459"/>
    </row>
    <row r="204" spans="1:11" ht="26.25" customHeight="1">
      <c r="A204" s="20"/>
      <c r="B204" s="200" t="str">
        <f>HYPERLINK("http://amare-moscow.ru/catalog/file_ryby_kholodnogo_kopcheniya_s_m/","Филе рыбное холодного копчения с/м")</f>
        <v>Филе рыбное холодного копчения с/м</v>
      </c>
      <c r="C204" s="22"/>
      <c r="D204" s="23" t="s">
        <v>28</v>
      </c>
      <c r="E204" s="23" t="s">
        <v>29</v>
      </c>
      <c r="F204" s="24" t="s">
        <v>30</v>
      </c>
      <c r="G204" s="23" t="s">
        <v>31</v>
      </c>
      <c r="H204" s="25" t="s">
        <v>32</v>
      </c>
      <c r="I204" s="24" t="s">
        <v>33</v>
      </c>
      <c r="J204" s="24" t="s">
        <v>34</v>
      </c>
      <c r="K204" s="23" t="s">
        <v>35</v>
      </c>
    </row>
    <row r="205" spans="1:11" ht="15" customHeight="1">
      <c r="A205" s="5"/>
      <c r="B205" s="150" t="str">
        <f>HYPERLINK("http://amare-moscow.ru/catalog/file_ryby_kholodnogo_kopcheniya_s_m/losos_file_trim_s_kh_k_sm_v_u_don_kreveton_rossiya/","Лосось филе трим С х/к см в/у ~1,5 кг-2кг")</f>
        <v>Лосось филе трим С х/к см в/у ~1,5 кг-2кг</v>
      </c>
      <c r="C205" s="27"/>
      <c r="D205" s="28" t="s">
        <v>318</v>
      </c>
      <c r="E205" s="12" t="s">
        <v>319</v>
      </c>
      <c r="F205" s="29" t="s">
        <v>71</v>
      </c>
      <c r="G205" s="30" t="s">
        <v>19</v>
      </c>
      <c r="H205" s="13" t="s">
        <v>22</v>
      </c>
      <c r="I205" s="13">
        <v>1650</v>
      </c>
      <c r="J205" s="30"/>
      <c r="K205" s="30">
        <v>0</v>
      </c>
    </row>
    <row r="206" spans="1:11" ht="15" customHeight="1">
      <c r="A206" s="5"/>
      <c r="B206" s="201" t="s">
        <v>320</v>
      </c>
      <c r="C206" s="27"/>
      <c r="D206" s="28" t="s">
        <v>318</v>
      </c>
      <c r="E206" s="12" t="s">
        <v>319</v>
      </c>
      <c r="F206" s="29" t="s">
        <v>71</v>
      </c>
      <c r="G206" s="30" t="s">
        <v>19</v>
      </c>
      <c r="H206" s="13" t="s">
        <v>22</v>
      </c>
      <c r="I206" s="13">
        <v>1870</v>
      </c>
      <c r="J206" s="30"/>
      <c r="K206" s="30"/>
    </row>
    <row r="207" spans="1:11" ht="15" customHeight="1">
      <c r="A207" s="5"/>
      <c r="B207" s="150" t="str">
        <f>HYPERLINK("http://www.amare-moscow.ru/catalog/ryba_kholodnogo_kopcheniya/paltus_tushka_kh_k_don_kreveton_ves_rossiya/","Палтус филе н/к х/к см в/у 300+")</f>
        <v>Палтус филе н/к х/к см в/у 300+</v>
      </c>
      <c r="C207" s="27"/>
      <c r="D207" s="28" t="s">
        <v>318</v>
      </c>
      <c r="E207" s="12" t="s">
        <v>319</v>
      </c>
      <c r="F207" s="29" t="s">
        <v>71</v>
      </c>
      <c r="G207" s="30" t="s">
        <v>19</v>
      </c>
      <c r="H207" s="13" t="s">
        <v>22</v>
      </c>
      <c r="I207" s="47">
        <v>1350</v>
      </c>
      <c r="J207" s="30"/>
      <c r="K207" s="30">
        <f>I207*J207</f>
        <v>0</v>
      </c>
    </row>
    <row r="208" spans="1:11" ht="15" customHeight="1">
      <c r="A208" s="202" t="s">
        <v>321</v>
      </c>
      <c r="B208" s="150" t="str">
        <f>HYPERLINK("http://www.amare-moscow.ru/catalog/ryba_kholodnogo_kopcheniya/maslyanaya_file_kusok_n_k_kh_k_sm_v_u_don_kreveton_0_5_kg_rossiya/","Масляная филе-кусок н/к х/к см в/у ~0,5 кг")</f>
        <v>Масляная филе-кусок н/к х/к см в/у ~0,5 кг</v>
      </c>
      <c r="C208" s="27"/>
      <c r="D208" s="28" t="s">
        <v>318</v>
      </c>
      <c r="E208" s="12" t="s">
        <v>319</v>
      </c>
      <c r="F208" s="29" t="s">
        <v>71</v>
      </c>
      <c r="G208" s="30" t="s">
        <v>19</v>
      </c>
      <c r="H208" s="13" t="s">
        <v>22</v>
      </c>
      <c r="I208" s="47">
        <v>860</v>
      </c>
      <c r="J208" s="30"/>
      <c r="K208" s="30">
        <v>0</v>
      </c>
    </row>
    <row r="209" spans="1:11" ht="15" customHeight="1">
      <c r="A209" s="202"/>
      <c r="B209" s="203" t="s">
        <v>322</v>
      </c>
      <c r="C209" s="27"/>
      <c r="D209" s="28"/>
      <c r="E209" s="12" t="s">
        <v>204</v>
      </c>
      <c r="F209" s="29"/>
      <c r="G209" s="30" t="s">
        <v>19</v>
      </c>
      <c r="H209" s="138" t="s">
        <v>22</v>
      </c>
      <c r="I209" s="190">
        <v>1330</v>
      </c>
      <c r="J209" s="169"/>
      <c r="K209" s="30">
        <f>I209*J209</f>
        <v>0</v>
      </c>
    </row>
    <row r="210" spans="1:11" ht="26.25" customHeight="1">
      <c r="A210" s="20"/>
      <c r="B210" s="200" t="str">
        <f>HYPERLINK("http://www.amare-moscow.ru/catalog/ryba_slabosolenaya_/","Рыба слабосоленая")</f>
        <v>Рыба слабосоленая</v>
      </c>
      <c r="C210" s="22"/>
      <c r="D210" s="23" t="s">
        <v>28</v>
      </c>
      <c r="E210" s="23" t="s">
        <v>29</v>
      </c>
      <c r="F210" s="24" t="s">
        <v>30</v>
      </c>
      <c r="G210" s="23" t="s">
        <v>31</v>
      </c>
      <c r="H210" s="25" t="s">
        <v>32</v>
      </c>
      <c r="I210" s="24" t="s">
        <v>33</v>
      </c>
      <c r="J210" s="24" t="s">
        <v>34</v>
      </c>
      <c r="K210" s="23" t="s">
        <v>35</v>
      </c>
    </row>
    <row r="211" spans="1:11" ht="15" customHeight="1">
      <c r="A211" s="5"/>
      <c r="B211" s="150" t="str">
        <f>HYPERLINK("http://amare-moscow.ru/catalog/ryba_slabosolenaya_/losos_file_trim_s_s_s_v_u_don_kreveton_ves_rossiya/","Лосось филе трим С с/с с/м в/у Премиум 1,3-1,8 кг")</f>
        <v>Лосось филе трим С с/с с/м в/у Премиум 1,3-1,8 кг</v>
      </c>
      <c r="C211" s="27"/>
      <c r="D211" s="28" t="s">
        <v>318</v>
      </c>
      <c r="E211" s="12" t="s">
        <v>323</v>
      </c>
      <c r="F211" s="29" t="s">
        <v>324</v>
      </c>
      <c r="G211" s="30" t="s">
        <v>19</v>
      </c>
      <c r="H211" s="13" t="s">
        <v>22</v>
      </c>
      <c r="I211" s="13">
        <v>1750</v>
      </c>
      <c r="J211" s="30"/>
      <c r="K211" s="30">
        <v>0</v>
      </c>
    </row>
    <row r="212" spans="1:11" ht="15" customHeight="1">
      <c r="A212" s="5"/>
      <c r="B212" s="150" t="str">
        <f>HYPERLINK("http://amare-moscow.ru/catalog/ryba_slabosolenaya_/seld_file_s_s_v_masle_don_kreveton_520g_4sht_rossiya/","Сельдь филе с/с в масле")</f>
        <v>Сельдь филе с/с в масле</v>
      </c>
      <c r="C212" s="27"/>
      <c r="D212" s="28" t="s">
        <v>325</v>
      </c>
      <c r="E212" s="204" t="s">
        <v>204</v>
      </c>
      <c r="F212" s="29" t="s">
        <v>205</v>
      </c>
      <c r="G212" s="30" t="s">
        <v>19</v>
      </c>
      <c r="H212" s="13" t="s">
        <v>20</v>
      </c>
      <c r="I212" s="47">
        <v>165</v>
      </c>
      <c r="J212" s="30"/>
      <c r="K212" s="30">
        <f t="shared" ref="K212:K213" si="28">I212*J212</f>
        <v>0</v>
      </c>
    </row>
    <row r="213" spans="1:11" ht="15" customHeight="1">
      <c r="A213" s="5"/>
      <c r="B213" s="205" t="s">
        <v>326</v>
      </c>
      <c r="C213" s="206"/>
      <c r="D213" s="169" t="s">
        <v>26</v>
      </c>
      <c r="E213" s="143" t="s">
        <v>204</v>
      </c>
      <c r="F213" s="29" t="s">
        <v>327</v>
      </c>
      <c r="G213" s="30" t="s">
        <v>19</v>
      </c>
      <c r="H213" s="207" t="s">
        <v>22</v>
      </c>
      <c r="I213" s="208">
        <v>230</v>
      </c>
      <c r="J213" s="144"/>
      <c r="K213" s="144">
        <f t="shared" si="28"/>
        <v>0</v>
      </c>
    </row>
    <row r="214" spans="1:11" ht="15" customHeight="1">
      <c r="A214" s="5"/>
      <c r="B214" s="456" t="s">
        <v>328</v>
      </c>
      <c r="C214" s="457"/>
      <c r="D214" s="457"/>
      <c r="E214" s="457"/>
      <c r="F214" s="457"/>
      <c r="G214" s="457"/>
      <c r="H214" s="457"/>
      <c r="I214" s="457"/>
      <c r="J214" s="457"/>
      <c r="K214" s="457"/>
    </row>
    <row r="215" spans="1:11" ht="15" customHeight="1">
      <c r="A215" s="5"/>
      <c r="B215" s="205" t="s">
        <v>328</v>
      </c>
      <c r="C215" s="206"/>
      <c r="D215" s="169" t="s">
        <v>329</v>
      </c>
      <c r="E215" s="143" t="s">
        <v>330</v>
      </c>
      <c r="F215" s="29" t="s">
        <v>39</v>
      </c>
      <c r="G215" s="30" t="s">
        <v>19</v>
      </c>
      <c r="H215" s="207" t="s">
        <v>22</v>
      </c>
      <c r="I215" s="208">
        <v>1100</v>
      </c>
      <c r="J215" s="144"/>
      <c r="K215" s="30">
        <v>0</v>
      </c>
    </row>
    <row r="216" spans="1:11" ht="15" customHeight="1">
      <c r="A216" s="5"/>
      <c r="B216" s="209" t="s">
        <v>331</v>
      </c>
      <c r="C216" s="206"/>
      <c r="D216" s="169" t="s">
        <v>332</v>
      </c>
      <c r="E216" s="143" t="s">
        <v>333</v>
      </c>
      <c r="F216" s="29"/>
      <c r="G216" s="30" t="s">
        <v>214</v>
      </c>
      <c r="H216" s="207" t="s">
        <v>22</v>
      </c>
      <c r="I216" s="208">
        <v>1345</v>
      </c>
      <c r="J216" s="144"/>
      <c r="K216" s="144">
        <f t="shared" ref="K216:K217" si="29">I216*J216</f>
        <v>0</v>
      </c>
    </row>
    <row r="217" spans="1:11" ht="15" customHeight="1">
      <c r="A217" s="5"/>
      <c r="B217" s="210" t="s">
        <v>334</v>
      </c>
      <c r="C217" s="206"/>
      <c r="D217" s="169" t="s">
        <v>332</v>
      </c>
      <c r="E217" s="143" t="s">
        <v>333</v>
      </c>
      <c r="F217" s="29"/>
      <c r="G217" s="30" t="s">
        <v>214</v>
      </c>
      <c r="H217" s="207" t="s">
        <v>22</v>
      </c>
      <c r="I217" s="208">
        <v>1305</v>
      </c>
      <c r="J217" s="144"/>
      <c r="K217" s="144">
        <f t="shared" si="29"/>
        <v>0</v>
      </c>
    </row>
    <row r="218" spans="1:11" ht="18.75" customHeight="1">
      <c r="A218" s="458" t="str">
        <f>HYPERLINK("http://www.amare-moscow.ru/catalog/krevetki/","Креветки")</f>
        <v>Креветки</v>
      </c>
      <c r="B218" s="457"/>
      <c r="C218" s="457"/>
      <c r="D218" s="457"/>
      <c r="E218" s="457"/>
      <c r="F218" s="457"/>
      <c r="G218" s="457"/>
      <c r="H218" s="457"/>
      <c r="I218" s="457"/>
      <c r="J218" s="457"/>
      <c r="K218" s="459"/>
    </row>
    <row r="219" spans="1:11" ht="26.25" customHeight="1">
      <c r="A219" s="20"/>
      <c r="B219" s="200" t="str">
        <f>HYPERLINK("http://www.amare-moscow.ru/catalog/krevetki_b_g_vannamey/","Креветки ваннамей  б/г")</f>
        <v>Креветки ваннамей  б/г</v>
      </c>
      <c r="C219" s="22"/>
      <c r="D219" s="23" t="s">
        <v>28</v>
      </c>
      <c r="E219" s="23" t="s">
        <v>29</v>
      </c>
      <c r="F219" s="24" t="s">
        <v>30</v>
      </c>
      <c r="G219" s="23" t="s">
        <v>31</v>
      </c>
      <c r="H219" s="25" t="s">
        <v>32</v>
      </c>
      <c r="I219" s="24" t="s">
        <v>33</v>
      </c>
      <c r="J219" s="24" t="s">
        <v>34</v>
      </c>
      <c r="K219" s="23" t="s">
        <v>35</v>
      </c>
    </row>
    <row r="220" spans="1:11" ht="15" customHeight="1">
      <c r="A220" s="5"/>
      <c r="B220" s="150" t="str">
        <f>HYPERLINK("http://www.amare-moscow.ru/catalog/krevetki_b_g_vannamey/krevetki_van_b_g_s_m_16_20_sht_v_funte_v_bloke_don_kreveton_1_8kg_6sht_indiya/","Креветки ван б/г с/м 16/20 во льду")</f>
        <v>Креветки ван б/г с/м 16/20 во льду</v>
      </c>
      <c r="C220" s="27"/>
      <c r="D220" s="28" t="s">
        <v>335</v>
      </c>
      <c r="E220" s="12" t="s">
        <v>336</v>
      </c>
      <c r="F220" s="29" t="s">
        <v>213</v>
      </c>
      <c r="G220" s="30" t="s">
        <v>337</v>
      </c>
      <c r="H220" s="13" t="s">
        <v>22</v>
      </c>
      <c r="I220" s="13">
        <v>880</v>
      </c>
      <c r="J220" s="30"/>
      <c r="K220" s="30">
        <v>0</v>
      </c>
    </row>
    <row r="221" spans="1:11" ht="15" customHeight="1">
      <c r="A221" s="5"/>
      <c r="B221" s="201" t="s">
        <v>338</v>
      </c>
      <c r="C221" s="27"/>
      <c r="D221" s="28" t="s">
        <v>339</v>
      </c>
      <c r="E221" s="12" t="s">
        <v>220</v>
      </c>
      <c r="F221" s="29" t="s">
        <v>213</v>
      </c>
      <c r="G221" s="30" t="s">
        <v>337</v>
      </c>
      <c r="H221" s="13" t="s">
        <v>22</v>
      </c>
      <c r="I221" s="13">
        <v>890</v>
      </c>
      <c r="J221" s="30"/>
      <c r="K221" s="30">
        <v>0</v>
      </c>
    </row>
    <row r="222" spans="1:11" ht="15" customHeight="1">
      <c r="A222" s="5"/>
      <c r="B222" s="150" t="str">
        <f>HYPERLINK("http://www.amare-moscow.ru/catalog/krevetki_b_g_vannamey/krevetki_van_b_g_s_m_16_20_sht_v_funte_v_bloke_don_kreveton_1_8kg_6sht_indiya/","Креветки ван б/г с/м 21/25 во льду")</f>
        <v>Креветки ван б/г с/м 21/25 во льду</v>
      </c>
      <c r="C222" s="156"/>
      <c r="D222" s="28" t="s">
        <v>335</v>
      </c>
      <c r="E222" s="12" t="s">
        <v>340</v>
      </c>
      <c r="F222" s="29" t="s">
        <v>213</v>
      </c>
      <c r="G222" s="30" t="s">
        <v>337</v>
      </c>
      <c r="H222" s="13" t="s">
        <v>22</v>
      </c>
      <c r="I222" s="13">
        <v>850</v>
      </c>
      <c r="J222" s="30"/>
      <c r="K222" s="30">
        <v>0</v>
      </c>
    </row>
    <row r="223" spans="1:11" ht="15" customHeight="1">
      <c r="A223" s="5"/>
      <c r="B223" s="150" t="str">
        <f t="shared" ref="B223:B224" si="30">HYPERLINK("http://www.amare-moscow.ru/catalog/krevetki_b_g_vannamey/krevetki_van_b_g_s_m_16_20_sht_v_funte_v_bloke_don_kreveton_1_8kg_6sht_indiya/","Креветки ван б/г с/м 21/25 во льду Эконом")</f>
        <v>Креветки ван б/г с/м 21/25 во льду Эконом</v>
      </c>
      <c r="C223" s="27"/>
      <c r="D223" s="28" t="s">
        <v>335</v>
      </c>
      <c r="E223" s="12" t="s">
        <v>336</v>
      </c>
      <c r="F223" s="29" t="s">
        <v>213</v>
      </c>
      <c r="G223" s="30" t="s">
        <v>341</v>
      </c>
      <c r="H223" s="13" t="s">
        <v>22</v>
      </c>
      <c r="I223" s="13" t="s">
        <v>143</v>
      </c>
      <c r="J223" s="30"/>
      <c r="K223" s="30">
        <v>0</v>
      </c>
    </row>
    <row r="224" spans="1:11" ht="15" customHeight="1">
      <c r="A224" s="5"/>
      <c r="B224" s="150" t="str">
        <f t="shared" si="30"/>
        <v>Креветки ван б/г с/м 21/25 во льду Эконом</v>
      </c>
      <c r="C224" s="27"/>
      <c r="D224" s="28" t="s">
        <v>335</v>
      </c>
      <c r="E224" s="12" t="s">
        <v>336</v>
      </c>
      <c r="F224" s="29" t="s">
        <v>213</v>
      </c>
      <c r="G224" s="30" t="s">
        <v>337</v>
      </c>
      <c r="H224" s="13" t="s">
        <v>22</v>
      </c>
      <c r="I224" s="13">
        <v>800</v>
      </c>
      <c r="J224" s="30"/>
      <c r="K224" s="30">
        <v>0</v>
      </c>
    </row>
    <row r="225" spans="1:11" ht="15" customHeight="1">
      <c r="A225" s="5"/>
      <c r="B225" s="201" t="s">
        <v>342</v>
      </c>
      <c r="C225" s="27"/>
      <c r="D225" s="28" t="s">
        <v>339</v>
      </c>
      <c r="E225" s="12" t="s">
        <v>220</v>
      </c>
      <c r="F225" s="29" t="s">
        <v>213</v>
      </c>
      <c r="G225" s="30" t="s">
        <v>337</v>
      </c>
      <c r="H225" s="13" t="s">
        <v>22</v>
      </c>
      <c r="I225" s="13">
        <v>810</v>
      </c>
      <c r="J225" s="30"/>
      <c r="K225" s="30">
        <v>0</v>
      </c>
    </row>
    <row r="226" spans="1:11" ht="15" customHeight="1">
      <c r="A226" s="5"/>
      <c r="B226" s="201" t="s">
        <v>343</v>
      </c>
      <c r="C226" s="27"/>
      <c r="D226" s="28" t="s">
        <v>339</v>
      </c>
      <c r="E226" s="12" t="s">
        <v>220</v>
      </c>
      <c r="F226" s="29" t="s">
        <v>213</v>
      </c>
      <c r="G226" s="30" t="s">
        <v>337</v>
      </c>
      <c r="H226" s="13" t="s">
        <v>22</v>
      </c>
      <c r="I226" s="13">
        <v>800</v>
      </c>
      <c r="J226" s="30"/>
      <c r="K226" s="30">
        <v>0</v>
      </c>
    </row>
    <row r="227" spans="1:11" ht="15" customHeight="1">
      <c r="A227" s="5"/>
      <c r="B227" s="150" t="str">
        <f>HYPERLINK("http://amare-moscow.ru/catalog/krevetki_b_g_vannamey/krevetki_van_b_g_s_m_26_30_sht_v_funte_ind_zam_don_kreveton_1kg_10sht_indoneziya/","Креветки ван б/г с/м 26/30")</f>
        <v>Креветки ван б/г с/м 26/30</v>
      </c>
      <c r="C227" s="27"/>
      <c r="D227" s="28" t="s">
        <v>339</v>
      </c>
      <c r="E227" s="12" t="s">
        <v>220</v>
      </c>
      <c r="F227" s="29" t="s">
        <v>213</v>
      </c>
      <c r="G227" s="30" t="s">
        <v>344</v>
      </c>
      <c r="H227" s="13" t="s">
        <v>22</v>
      </c>
      <c r="I227" s="13">
        <v>810</v>
      </c>
      <c r="J227" s="30"/>
      <c r="K227" s="30">
        <v>0</v>
      </c>
    </row>
    <row r="228" spans="1:11" ht="15" customHeight="1">
      <c r="A228" s="5"/>
      <c r="B228" s="156" t="s">
        <v>345</v>
      </c>
      <c r="C228" s="27"/>
      <c r="D228" s="28" t="s">
        <v>339</v>
      </c>
      <c r="E228" s="12" t="s">
        <v>220</v>
      </c>
      <c r="F228" s="29" t="s">
        <v>346</v>
      </c>
      <c r="G228" s="30" t="s">
        <v>337</v>
      </c>
      <c r="H228" s="13" t="s">
        <v>22</v>
      </c>
      <c r="I228" s="138">
        <v>750</v>
      </c>
      <c r="J228" s="30"/>
      <c r="K228" s="30">
        <v>0</v>
      </c>
    </row>
    <row r="229" spans="1:11" ht="15" customHeight="1">
      <c r="A229" s="5"/>
      <c r="B229" s="156" t="s">
        <v>347</v>
      </c>
      <c r="C229" s="27"/>
      <c r="D229" s="28" t="s">
        <v>348</v>
      </c>
      <c r="E229" s="12" t="s">
        <v>349</v>
      </c>
      <c r="F229" s="29" t="s">
        <v>213</v>
      </c>
      <c r="G229" s="30" t="s">
        <v>305</v>
      </c>
      <c r="H229" s="138" t="s">
        <v>22</v>
      </c>
      <c r="I229" s="138">
        <v>580</v>
      </c>
      <c r="J229" s="169"/>
      <c r="K229" s="30">
        <f>I229*J229</f>
        <v>0</v>
      </c>
    </row>
    <row r="230" spans="1:11" ht="26.25" customHeight="1">
      <c r="A230" s="20"/>
      <c r="B230" s="212" t="s">
        <v>350</v>
      </c>
      <c r="C230" s="22"/>
      <c r="D230" s="23" t="s">
        <v>28</v>
      </c>
      <c r="E230" s="23" t="s">
        <v>29</v>
      </c>
      <c r="F230" s="24" t="s">
        <v>30</v>
      </c>
      <c r="G230" s="23" t="s">
        <v>31</v>
      </c>
      <c r="H230" s="25" t="s">
        <v>32</v>
      </c>
      <c r="I230" s="24" t="s">
        <v>33</v>
      </c>
      <c r="J230" s="24" t="s">
        <v>34</v>
      </c>
      <c r="K230" s="23" t="s">
        <v>35</v>
      </c>
    </row>
    <row r="231" spans="1:11" ht="15" customHeight="1">
      <c r="A231" s="5"/>
      <c r="B231" s="156" t="s">
        <v>351</v>
      </c>
      <c r="C231" s="27"/>
      <c r="D231" s="28" t="s">
        <v>352</v>
      </c>
      <c r="E231" s="213" t="s">
        <v>220</v>
      </c>
      <c r="F231" s="29" t="s">
        <v>213</v>
      </c>
      <c r="G231" s="30" t="s">
        <v>341</v>
      </c>
      <c r="H231" s="13" t="s">
        <v>22</v>
      </c>
      <c r="I231" s="47" t="s">
        <v>143</v>
      </c>
      <c r="J231" s="30"/>
      <c r="K231" s="30">
        <v>0</v>
      </c>
    </row>
    <row r="232" spans="1:11" ht="15" customHeight="1">
      <c r="A232" s="5"/>
      <c r="B232" s="156" t="s">
        <v>351</v>
      </c>
      <c r="C232" s="27"/>
      <c r="D232" s="28" t="s">
        <v>353</v>
      </c>
      <c r="E232" s="213" t="s">
        <v>220</v>
      </c>
      <c r="F232" s="29" t="s">
        <v>213</v>
      </c>
      <c r="G232" s="30" t="s">
        <v>337</v>
      </c>
      <c r="H232" s="13" t="s">
        <v>22</v>
      </c>
      <c r="I232" s="47">
        <v>910</v>
      </c>
      <c r="J232" s="30"/>
      <c r="K232" s="30">
        <v>0</v>
      </c>
    </row>
    <row r="233" spans="1:11" ht="15" customHeight="1">
      <c r="A233" s="5"/>
      <c r="B233" s="156" t="s">
        <v>354</v>
      </c>
      <c r="C233" s="27"/>
      <c r="D233" s="28" t="s">
        <v>353</v>
      </c>
      <c r="E233" s="213" t="s">
        <v>220</v>
      </c>
      <c r="F233" s="29" t="s">
        <v>213</v>
      </c>
      <c r="G233" s="30" t="s">
        <v>337</v>
      </c>
      <c r="H233" s="13" t="s">
        <v>22</v>
      </c>
      <c r="I233" s="47">
        <v>910</v>
      </c>
      <c r="J233" s="30"/>
      <c r="K233" s="30">
        <v>0</v>
      </c>
    </row>
    <row r="234" spans="1:11" ht="15" customHeight="1">
      <c r="A234" s="214"/>
      <c r="B234" s="156" t="s">
        <v>355</v>
      </c>
      <c r="C234" s="27"/>
      <c r="D234" s="28" t="s">
        <v>352</v>
      </c>
      <c r="E234" s="213" t="s">
        <v>220</v>
      </c>
      <c r="F234" s="29" t="s">
        <v>213</v>
      </c>
      <c r="G234" s="30" t="s">
        <v>337</v>
      </c>
      <c r="H234" s="13" t="s">
        <v>22</v>
      </c>
      <c r="I234" s="13">
        <v>1248</v>
      </c>
      <c r="J234" s="30"/>
      <c r="K234" s="30">
        <v>0</v>
      </c>
    </row>
    <row r="235" spans="1:11" ht="15" customHeight="1">
      <c r="A235" s="214"/>
      <c r="B235" s="156" t="s">
        <v>356</v>
      </c>
      <c r="C235" s="27"/>
      <c r="D235" s="28" t="s">
        <v>352</v>
      </c>
      <c r="E235" s="213" t="s">
        <v>220</v>
      </c>
      <c r="F235" s="29" t="s">
        <v>213</v>
      </c>
      <c r="G235" s="30" t="s">
        <v>337</v>
      </c>
      <c r="H235" s="13" t="s">
        <v>22</v>
      </c>
      <c r="I235" s="13">
        <v>1000</v>
      </c>
      <c r="J235" s="30"/>
      <c r="K235" s="30">
        <v>0</v>
      </c>
    </row>
    <row r="236" spans="1:11" ht="15" customHeight="1">
      <c r="A236" s="214"/>
      <c r="B236" s="156" t="s">
        <v>357</v>
      </c>
      <c r="C236" s="27"/>
      <c r="D236" s="28" t="s">
        <v>352</v>
      </c>
      <c r="E236" s="213" t="s">
        <v>220</v>
      </c>
      <c r="F236" s="29" t="s">
        <v>213</v>
      </c>
      <c r="G236" s="30" t="s">
        <v>337</v>
      </c>
      <c r="H236" s="13" t="s">
        <v>22</v>
      </c>
      <c r="I236" s="13">
        <v>800</v>
      </c>
      <c r="J236" s="30"/>
      <c r="K236" s="30">
        <v>0</v>
      </c>
    </row>
    <row r="237" spans="1:11" ht="15" customHeight="1">
      <c r="A237" s="5"/>
      <c r="B237" s="201" t="s">
        <v>358</v>
      </c>
      <c r="C237" s="27"/>
      <c r="D237" s="28" t="s">
        <v>352</v>
      </c>
      <c r="E237" s="213" t="s">
        <v>220</v>
      </c>
      <c r="F237" s="29" t="s">
        <v>213</v>
      </c>
      <c r="G237" s="30" t="s">
        <v>337</v>
      </c>
      <c r="H237" s="13" t="s">
        <v>22</v>
      </c>
      <c r="I237" s="13">
        <v>1267</v>
      </c>
      <c r="J237" s="30"/>
      <c r="K237" s="30">
        <v>0</v>
      </c>
    </row>
    <row r="238" spans="1:11" ht="15" customHeight="1">
      <c r="A238" s="5"/>
      <c r="B238" s="201" t="s">
        <v>359</v>
      </c>
      <c r="C238" s="27"/>
      <c r="D238" s="28" t="s">
        <v>352</v>
      </c>
      <c r="E238" s="213" t="s">
        <v>220</v>
      </c>
      <c r="F238" s="29" t="s">
        <v>213</v>
      </c>
      <c r="G238" s="30" t="s">
        <v>337</v>
      </c>
      <c r="H238" s="13" t="s">
        <v>22</v>
      </c>
      <c r="I238" s="13" t="s">
        <v>143</v>
      </c>
      <c r="J238" s="30"/>
      <c r="K238" s="30">
        <v>0</v>
      </c>
    </row>
    <row r="239" spans="1:11" ht="15" customHeight="1">
      <c r="A239" s="5"/>
      <c r="B239" s="201" t="s">
        <v>360</v>
      </c>
      <c r="C239" s="27"/>
      <c r="D239" s="28" t="s">
        <v>339</v>
      </c>
      <c r="E239" s="12" t="s">
        <v>220</v>
      </c>
      <c r="F239" s="29" t="s">
        <v>213</v>
      </c>
      <c r="G239" s="30" t="s">
        <v>337</v>
      </c>
      <c r="H239" s="13" t="s">
        <v>22</v>
      </c>
      <c r="I239" s="13">
        <v>1250</v>
      </c>
      <c r="J239" s="30"/>
      <c r="K239" s="30">
        <v>0</v>
      </c>
    </row>
    <row r="240" spans="1:11" ht="15" customHeight="1">
      <c r="A240" s="5"/>
      <c r="B240" s="156" t="s">
        <v>361</v>
      </c>
      <c r="C240" s="27"/>
      <c r="D240" s="28" t="s">
        <v>339</v>
      </c>
      <c r="E240" s="12" t="s">
        <v>220</v>
      </c>
      <c r="F240" s="29" t="s">
        <v>213</v>
      </c>
      <c r="G240" s="30" t="s">
        <v>337</v>
      </c>
      <c r="H240" s="138" t="s">
        <v>22</v>
      </c>
      <c r="I240" s="215">
        <v>1050</v>
      </c>
      <c r="J240" s="30"/>
      <c r="K240" s="30">
        <v>0</v>
      </c>
    </row>
    <row r="241" spans="1:11" ht="15" customHeight="1">
      <c r="A241" s="5"/>
      <c r="B241" s="156" t="s">
        <v>362</v>
      </c>
      <c r="C241" s="27"/>
      <c r="D241" s="28" t="s">
        <v>339</v>
      </c>
      <c r="E241" s="12" t="s">
        <v>220</v>
      </c>
      <c r="F241" s="29" t="s">
        <v>213</v>
      </c>
      <c r="G241" s="30" t="s">
        <v>337</v>
      </c>
      <c r="H241" s="138" t="s">
        <v>22</v>
      </c>
      <c r="I241" s="215">
        <v>660</v>
      </c>
      <c r="J241" s="30"/>
      <c r="K241" s="30">
        <v>0</v>
      </c>
    </row>
    <row r="242" spans="1:11" ht="15" customHeight="1">
      <c r="A242" s="5"/>
      <c r="B242" s="156" t="s">
        <v>363</v>
      </c>
      <c r="C242" s="27"/>
      <c r="D242" s="28" t="s">
        <v>339</v>
      </c>
      <c r="E242" s="12" t="s">
        <v>220</v>
      </c>
      <c r="F242" s="29" t="s">
        <v>213</v>
      </c>
      <c r="G242" s="30" t="s">
        <v>337</v>
      </c>
      <c r="H242" s="13" t="s">
        <v>22</v>
      </c>
      <c r="I242" s="215">
        <v>700</v>
      </c>
      <c r="J242" s="30"/>
      <c r="K242" s="30">
        <v>0</v>
      </c>
    </row>
    <row r="243" spans="1:11" ht="26.25" customHeight="1">
      <c r="A243" s="20"/>
      <c r="B243" s="200" t="str">
        <f>HYPERLINK("http://www.amare-moscow.ru/catalog/krevetki_chernye_tigrovye_/","Креветки черные тигровые")</f>
        <v>Креветки черные тигровые</v>
      </c>
      <c r="C243" s="22"/>
      <c r="D243" s="23" t="s">
        <v>28</v>
      </c>
      <c r="E243" s="23" t="s">
        <v>29</v>
      </c>
      <c r="F243" s="24" t="s">
        <v>30</v>
      </c>
      <c r="G243" s="23" t="s">
        <v>31</v>
      </c>
      <c r="H243" s="25" t="s">
        <v>32</v>
      </c>
      <c r="I243" s="24" t="s">
        <v>33</v>
      </c>
      <c r="J243" s="24" t="s">
        <v>34</v>
      </c>
      <c r="K243" s="23" t="s">
        <v>35</v>
      </c>
    </row>
    <row r="244" spans="1:11" ht="15" customHeight="1">
      <c r="A244" s="5"/>
      <c r="B244" s="201" t="s">
        <v>364</v>
      </c>
      <c r="C244" s="27"/>
      <c r="D244" s="28" t="s">
        <v>339</v>
      </c>
      <c r="E244" s="12" t="s">
        <v>220</v>
      </c>
      <c r="F244" s="29" t="s">
        <v>213</v>
      </c>
      <c r="G244" s="30" t="s">
        <v>337</v>
      </c>
      <c r="H244" s="13" t="s">
        <v>22</v>
      </c>
      <c r="I244" s="13">
        <v>915</v>
      </c>
      <c r="J244" s="30"/>
      <c r="K244" s="30">
        <v>0</v>
      </c>
    </row>
    <row r="245" spans="1:11" ht="15" customHeight="1">
      <c r="A245" s="5"/>
      <c r="B245" s="156" t="s">
        <v>365</v>
      </c>
      <c r="C245" s="27"/>
      <c r="D245" s="28" t="s">
        <v>339</v>
      </c>
      <c r="E245" s="12" t="s">
        <v>220</v>
      </c>
      <c r="F245" s="29" t="s">
        <v>213</v>
      </c>
      <c r="G245" s="30" t="s">
        <v>337</v>
      </c>
      <c r="H245" s="13" t="s">
        <v>22</v>
      </c>
      <c r="I245" s="13">
        <v>980</v>
      </c>
      <c r="J245" s="30"/>
      <c r="K245" s="30">
        <v>0</v>
      </c>
    </row>
    <row r="246" spans="1:11" ht="15" customHeight="1">
      <c r="A246" s="5"/>
      <c r="B246" s="156" t="s">
        <v>366</v>
      </c>
      <c r="C246" s="27"/>
      <c r="D246" s="28" t="s">
        <v>367</v>
      </c>
      <c r="E246" s="12" t="s">
        <v>220</v>
      </c>
      <c r="F246" s="29" t="s">
        <v>213</v>
      </c>
      <c r="G246" s="30" t="s">
        <v>337</v>
      </c>
      <c r="H246" s="138" t="s">
        <v>22</v>
      </c>
      <c r="I246" s="138">
        <v>1150</v>
      </c>
      <c r="J246" s="30"/>
      <c r="K246" s="30">
        <v>0</v>
      </c>
    </row>
    <row r="247" spans="1:11" ht="26.25" customHeight="1">
      <c r="A247" s="20"/>
      <c r="B247" s="200" t="str">
        <f>HYPERLINK("http://www.amare-moscow.ru/catalog/krevetki_dikie/","Креветки аргентинские дикие")</f>
        <v>Креветки аргентинские дикие</v>
      </c>
      <c r="C247" s="22"/>
      <c r="D247" s="23" t="s">
        <v>28</v>
      </c>
      <c r="E247" s="23" t="s">
        <v>29</v>
      </c>
      <c r="F247" s="24" t="s">
        <v>30</v>
      </c>
      <c r="G247" s="23" t="s">
        <v>31</v>
      </c>
      <c r="H247" s="25" t="s">
        <v>32</v>
      </c>
      <c r="I247" s="24" t="s">
        <v>33</v>
      </c>
      <c r="J247" s="24" t="s">
        <v>34</v>
      </c>
      <c r="K247" s="23" t="s">
        <v>35</v>
      </c>
    </row>
    <row r="248" spans="1:11" ht="15" customHeight="1">
      <c r="A248" s="5"/>
      <c r="B248" s="216" t="s">
        <v>368</v>
      </c>
      <c r="C248" s="27"/>
      <c r="D248" s="28" t="s">
        <v>369</v>
      </c>
      <c r="E248" s="119"/>
      <c r="F248" s="29" t="s">
        <v>213</v>
      </c>
      <c r="G248" s="30" t="s">
        <v>370</v>
      </c>
      <c r="H248" s="217" t="s">
        <v>22</v>
      </c>
      <c r="I248" s="13">
        <v>660</v>
      </c>
      <c r="J248" s="30"/>
      <c r="K248" s="30">
        <v>0</v>
      </c>
    </row>
    <row r="249" spans="1:11" ht="15" customHeight="1">
      <c r="A249" s="5"/>
      <c r="B249" s="216" t="s">
        <v>371</v>
      </c>
      <c r="C249" s="27"/>
      <c r="D249" s="28" t="s">
        <v>369</v>
      </c>
      <c r="E249" s="12"/>
      <c r="F249" s="29" t="s">
        <v>346</v>
      </c>
      <c r="G249" s="30" t="s">
        <v>372</v>
      </c>
      <c r="H249" s="13" t="s">
        <v>22</v>
      </c>
      <c r="I249" s="13" t="s">
        <v>143</v>
      </c>
      <c r="J249" s="30"/>
      <c r="K249" s="30">
        <v>0</v>
      </c>
    </row>
    <row r="250" spans="1:11" ht="15" customHeight="1">
      <c r="A250" s="5"/>
      <c r="B250" s="150" t="str">
        <f>HYPERLINK("http://www.amare-moscow.ru/catalog/krevetki_dikie/krevetki_argentinskie_dikie_b_g_s_m_51_100_sht_v_kg_c2_ind_zam_don_kreveton_2_kg_6_sht_argentina/","Креветки арг б/г с/м С 2 51/100 ")</f>
        <v xml:space="preserve">Креветки арг б/г с/м С 2 51/100 </v>
      </c>
      <c r="C250" s="27"/>
      <c r="D250" s="28" t="s">
        <v>369</v>
      </c>
      <c r="E250" s="12"/>
      <c r="F250" s="29" t="s">
        <v>213</v>
      </c>
      <c r="G250" s="30" t="s">
        <v>373</v>
      </c>
      <c r="H250" s="13" t="s">
        <v>22</v>
      </c>
      <c r="I250" s="13" t="s">
        <v>143</v>
      </c>
      <c r="J250" s="30"/>
      <c r="K250" s="30">
        <v>0</v>
      </c>
    </row>
    <row r="251" spans="1:11" ht="26.25" customHeight="1">
      <c r="A251" s="95"/>
      <c r="B251" s="218" t="s">
        <v>374</v>
      </c>
      <c r="C251" s="22"/>
      <c r="D251" s="23" t="s">
        <v>28</v>
      </c>
      <c r="E251" s="23" t="s">
        <v>29</v>
      </c>
      <c r="F251" s="24" t="s">
        <v>30</v>
      </c>
      <c r="G251" s="23" t="s">
        <v>31</v>
      </c>
      <c r="H251" s="25" t="s">
        <v>32</v>
      </c>
      <c r="I251" s="24" t="s">
        <v>33</v>
      </c>
      <c r="J251" s="24" t="s">
        <v>34</v>
      </c>
      <c r="K251" s="23" t="s">
        <v>35</v>
      </c>
    </row>
    <row r="252" spans="1:11" ht="26.25" customHeight="1">
      <c r="A252" s="95"/>
      <c r="B252" s="219" t="s">
        <v>375</v>
      </c>
      <c r="C252" s="220"/>
      <c r="D252" s="221" t="s">
        <v>61</v>
      </c>
      <c r="E252" s="47"/>
      <c r="F252" s="193"/>
      <c r="G252" s="47" t="s">
        <v>244</v>
      </c>
      <c r="H252" s="222" t="s">
        <v>22</v>
      </c>
      <c r="I252" s="193">
        <v>965</v>
      </c>
      <c r="J252" s="193"/>
      <c r="K252" s="47">
        <v>0</v>
      </c>
    </row>
    <row r="253" spans="1:11" ht="16.5" customHeight="1">
      <c r="A253" s="95"/>
      <c r="B253" s="156" t="s">
        <v>376</v>
      </c>
      <c r="C253" s="156"/>
      <c r="D253" s="28" t="s">
        <v>377</v>
      </c>
      <c r="E253" s="156"/>
      <c r="F253" s="29" t="s">
        <v>378</v>
      </c>
      <c r="G253" s="30" t="s">
        <v>305</v>
      </c>
      <c r="H253" s="13" t="s">
        <v>22</v>
      </c>
      <c r="I253" s="13" t="s">
        <v>143</v>
      </c>
      <c r="J253" s="223"/>
      <c r="K253" s="30">
        <v>0</v>
      </c>
    </row>
    <row r="254" spans="1:11" ht="16.5" customHeight="1">
      <c r="A254" s="95"/>
      <c r="B254" s="156" t="s">
        <v>379</v>
      </c>
      <c r="C254" s="156"/>
      <c r="D254" s="28" t="s">
        <v>61</v>
      </c>
      <c r="E254" s="156"/>
      <c r="F254" s="29" t="s">
        <v>213</v>
      </c>
      <c r="G254" s="30" t="s">
        <v>380</v>
      </c>
      <c r="H254" s="13" t="s">
        <v>22</v>
      </c>
      <c r="I254" s="13" t="s">
        <v>143</v>
      </c>
      <c r="J254" s="156"/>
      <c r="K254" s="30">
        <v>0</v>
      </c>
    </row>
    <row r="255" spans="1:11">
      <c r="A255" s="458" t="str">
        <f>HYPERLINK("http://www.amare-moscow.ru/catalog/mollyuski/","Моллюски")</f>
        <v>Моллюски</v>
      </c>
      <c r="B255" s="457"/>
      <c r="C255" s="457"/>
      <c r="D255" s="457"/>
      <c r="E255" s="457"/>
      <c r="F255" s="457"/>
      <c r="G255" s="457"/>
      <c r="H255" s="457"/>
      <c r="I255" s="457"/>
      <c r="J255" s="457"/>
      <c r="K255" s="459"/>
    </row>
    <row r="256" spans="1:11" ht="26.25" customHeight="1">
      <c r="A256" s="20"/>
      <c r="B256" s="200" t="str">
        <f>HYPERLINK("http://www.amare-moscow.ru/catalog/grebeshok/","Гребешок")</f>
        <v>Гребешок</v>
      </c>
      <c r="C256" s="22"/>
      <c r="D256" s="23" t="s">
        <v>28</v>
      </c>
      <c r="E256" s="23" t="s">
        <v>29</v>
      </c>
      <c r="F256" s="24" t="s">
        <v>30</v>
      </c>
      <c r="G256" s="23" t="s">
        <v>31</v>
      </c>
      <c r="H256" s="25" t="s">
        <v>32</v>
      </c>
      <c r="I256" s="24" t="s">
        <v>33</v>
      </c>
      <c r="J256" s="24" t="s">
        <v>34</v>
      </c>
      <c r="K256" s="23" t="s">
        <v>35</v>
      </c>
    </row>
    <row r="257" spans="1:11" ht="15" customHeight="1">
      <c r="A257" s="5"/>
      <c r="B257" s="201" t="s">
        <v>381</v>
      </c>
      <c r="C257" s="27"/>
      <c r="D257" s="28" t="s">
        <v>382</v>
      </c>
      <c r="E257" s="12" t="s">
        <v>383</v>
      </c>
      <c r="F257" s="29" t="s">
        <v>39</v>
      </c>
      <c r="G257" s="30" t="s">
        <v>384</v>
      </c>
      <c r="H257" s="13" t="s">
        <v>22</v>
      </c>
      <c r="I257" s="13" t="s">
        <v>143</v>
      </c>
      <c r="J257" s="30"/>
      <c r="K257" s="30">
        <v>0</v>
      </c>
    </row>
    <row r="258" spans="1:11" ht="15" customHeight="1">
      <c r="A258" s="5"/>
      <c r="B258" s="150" t="str">
        <f>HYPERLINK("http://www.amare-moscow.ru/catalog/grebeshok/grebeshok_file_s_m_20_30_sht_v_funte_don_kreveton_1kg_10sht_rossiya/","Гребешок филе 30/40 с/м")</f>
        <v>Гребешок филе 30/40 с/м</v>
      </c>
      <c r="C258" s="27"/>
      <c r="D258" s="28" t="s">
        <v>339</v>
      </c>
      <c r="E258" s="12" t="s">
        <v>241</v>
      </c>
      <c r="F258" s="29" t="s">
        <v>39</v>
      </c>
      <c r="G258" s="30" t="s">
        <v>384</v>
      </c>
      <c r="H258" s="13" t="s">
        <v>22</v>
      </c>
      <c r="I258" s="47">
        <v>1500</v>
      </c>
      <c r="J258" s="30"/>
      <c r="K258" s="30">
        <v>0</v>
      </c>
    </row>
    <row r="259" spans="1:11" ht="15" customHeight="1">
      <c r="A259" s="5"/>
      <c r="B259" s="156" t="s">
        <v>385</v>
      </c>
      <c r="C259" s="27"/>
      <c r="D259" s="28" t="s">
        <v>339</v>
      </c>
      <c r="E259" s="12" t="s">
        <v>241</v>
      </c>
      <c r="F259" s="29" t="s">
        <v>39</v>
      </c>
      <c r="G259" s="30" t="s">
        <v>384</v>
      </c>
      <c r="H259" s="13" t="s">
        <v>22</v>
      </c>
      <c r="I259" s="47">
        <v>1650</v>
      </c>
      <c r="J259" s="30"/>
      <c r="K259" s="30"/>
    </row>
    <row r="260" spans="1:11" ht="15" customHeight="1">
      <c r="A260" s="5"/>
      <c r="B260" s="224" t="s">
        <v>386</v>
      </c>
      <c r="C260" s="225"/>
      <c r="D260" s="226" t="s">
        <v>387</v>
      </c>
      <c r="E260" s="227"/>
      <c r="F260" s="228" t="s">
        <v>213</v>
      </c>
      <c r="G260" s="229" t="s">
        <v>217</v>
      </c>
      <c r="H260" s="230" t="s">
        <v>22</v>
      </c>
      <c r="I260" s="230">
        <v>850</v>
      </c>
      <c r="J260" s="229"/>
      <c r="K260" s="229">
        <v>0</v>
      </c>
    </row>
    <row r="261" spans="1:11" ht="26.25" customHeight="1">
      <c r="A261" s="20"/>
      <c r="B261" s="200" t="str">
        <f>HYPERLINK("http://www.amare-moscow.ru/catalog/midii/","Мидии")</f>
        <v>Мидии</v>
      </c>
      <c r="C261" s="22"/>
      <c r="D261" s="23" t="s">
        <v>28</v>
      </c>
      <c r="E261" s="23" t="s">
        <v>29</v>
      </c>
      <c r="F261" s="24" t="s">
        <v>30</v>
      </c>
      <c r="G261" s="23" t="s">
        <v>31</v>
      </c>
      <c r="H261" s="25" t="s">
        <v>32</v>
      </c>
      <c r="I261" s="24" t="s">
        <v>33</v>
      </c>
      <c r="J261" s="24" t="s">
        <v>34</v>
      </c>
      <c r="K261" s="23" t="s">
        <v>35</v>
      </c>
    </row>
    <row r="262" spans="1:11" ht="15" customHeight="1">
      <c r="A262" s="5"/>
      <c r="B262" s="170" t="str">
        <f>HYPERLINK("http://www.amare-moscow.ru/catalog/midii/midii_v_1_2_rakovine_v_m_40_60_sht_v_kg_don_kreveton_1kg_10sht_chili/","Мидии в 1/2 раковине в/м 40/60")</f>
        <v>Мидии в 1/2 раковине в/м 40/60</v>
      </c>
      <c r="C262" s="176"/>
      <c r="D262" s="67" t="s">
        <v>388</v>
      </c>
      <c r="E262" s="11" t="s">
        <v>383</v>
      </c>
      <c r="F262" s="10" t="s">
        <v>213</v>
      </c>
      <c r="G262" s="11" t="s">
        <v>389</v>
      </c>
      <c r="H262" s="13" t="s">
        <v>22</v>
      </c>
      <c r="I262" s="13" t="s">
        <v>143</v>
      </c>
      <c r="J262" s="88"/>
      <c r="K262" s="88">
        <v>0</v>
      </c>
    </row>
    <row r="263" spans="1:11" ht="15" customHeight="1">
      <c r="A263" s="5"/>
      <c r="B263" s="66" t="s">
        <v>390</v>
      </c>
      <c r="C263" s="7"/>
      <c r="D263" s="67" t="s">
        <v>388</v>
      </c>
      <c r="E263" s="11" t="s">
        <v>383</v>
      </c>
      <c r="F263" s="91" t="s">
        <v>213</v>
      </c>
      <c r="G263" s="11" t="s">
        <v>389</v>
      </c>
      <c r="H263" s="231" t="s">
        <v>22</v>
      </c>
      <c r="I263" s="13" t="s">
        <v>143</v>
      </c>
      <c r="J263" s="88"/>
      <c r="K263" s="88">
        <v>0</v>
      </c>
    </row>
    <row r="264" spans="1:11" ht="15" customHeight="1">
      <c r="A264" s="5"/>
      <c r="B264" s="84" t="str">
        <f>HYPERLINK("http://www.amare-moscow.ru/catalog/midii/midii_v_1_2_rakovine_v_m_40_60_sht_v_kg_don_kreveton_1kg_10sht_chili/","Мидии в 1/2 раковине в/м 40/60")</f>
        <v>Мидии в 1/2 раковине в/м 40/60</v>
      </c>
      <c r="C264" s="27"/>
      <c r="D264" s="232" t="s">
        <v>391</v>
      </c>
      <c r="E264" s="85"/>
      <c r="F264" s="233" t="s">
        <v>213</v>
      </c>
      <c r="G264" s="88" t="s">
        <v>389</v>
      </c>
      <c r="H264" s="13" t="s">
        <v>20</v>
      </c>
      <c r="I264" s="47">
        <v>370</v>
      </c>
      <c r="J264" s="30"/>
      <c r="K264" s="30">
        <f>I264*J264</f>
        <v>0</v>
      </c>
    </row>
    <row r="265" spans="1:11" ht="15" customHeight="1">
      <c r="A265" s="5"/>
      <c r="B265" s="150" t="str">
        <f>HYPERLINK("http://www.amare-moscow.ru/catalog/midii/midii_v_rakovine_v_m_40_60_sht_v_kg_v_u_don_kreveton_1kg_5sht_chili/","Мидии в раковине 40/60 в/м в/у ")</f>
        <v xml:space="preserve">Мидии в раковине 40/60 в/м в/у </v>
      </c>
      <c r="C265" s="27"/>
      <c r="D265" s="28" t="s">
        <v>339</v>
      </c>
      <c r="E265" s="12" t="s">
        <v>392</v>
      </c>
      <c r="F265" s="29" t="s">
        <v>213</v>
      </c>
      <c r="G265" s="30" t="s">
        <v>393</v>
      </c>
      <c r="H265" s="13" t="s">
        <v>22</v>
      </c>
      <c r="I265" s="47">
        <v>310</v>
      </c>
      <c r="J265" s="30"/>
      <c r="K265" s="30">
        <v>0</v>
      </c>
    </row>
    <row r="266" spans="1:11" ht="15" customHeight="1">
      <c r="A266" s="5"/>
      <c r="B266" s="156" t="s">
        <v>394</v>
      </c>
      <c r="C266" s="27"/>
      <c r="D266" s="28" t="s">
        <v>339</v>
      </c>
      <c r="E266" s="12" t="s">
        <v>392</v>
      </c>
      <c r="F266" s="29" t="s">
        <v>213</v>
      </c>
      <c r="G266" s="30" t="s">
        <v>393</v>
      </c>
      <c r="H266" s="13" t="s">
        <v>22</v>
      </c>
      <c r="I266" s="47">
        <v>255</v>
      </c>
      <c r="J266" s="30"/>
      <c r="K266" s="30">
        <f t="shared" ref="K266:K267" si="31">I266*J266</f>
        <v>0</v>
      </c>
    </row>
    <row r="267" spans="1:11" ht="21" customHeight="1">
      <c r="A267" s="5"/>
      <c r="B267" s="234" t="s">
        <v>395</v>
      </c>
      <c r="C267" s="96"/>
      <c r="D267" s="235" t="s">
        <v>377</v>
      </c>
      <c r="E267" s="97" t="s">
        <v>392</v>
      </c>
      <c r="F267" s="236" t="s">
        <v>213</v>
      </c>
      <c r="G267" s="97" t="s">
        <v>396</v>
      </c>
      <c r="H267" s="98"/>
      <c r="I267" s="98">
        <v>500</v>
      </c>
      <c r="J267" s="97"/>
      <c r="K267" s="97">
        <f t="shared" si="31"/>
        <v>0</v>
      </c>
    </row>
    <row r="268" spans="1:11" ht="21" customHeight="1">
      <c r="A268" s="5"/>
      <c r="B268" s="176" t="s">
        <v>397</v>
      </c>
      <c r="C268" s="7"/>
      <c r="D268" s="67" t="s">
        <v>377</v>
      </c>
      <c r="E268" s="12" t="s">
        <v>392</v>
      </c>
      <c r="F268" s="10" t="s">
        <v>213</v>
      </c>
      <c r="G268" s="11" t="s">
        <v>398</v>
      </c>
      <c r="H268" s="13" t="s">
        <v>22</v>
      </c>
      <c r="I268" s="13" t="s">
        <v>143</v>
      </c>
      <c r="J268" s="11"/>
      <c r="K268" s="11">
        <v>0</v>
      </c>
    </row>
    <row r="269" spans="1:11" ht="15" customHeight="1">
      <c r="A269" s="5"/>
      <c r="B269" s="156" t="s">
        <v>399</v>
      </c>
      <c r="C269" s="27"/>
      <c r="D269" s="28" t="s">
        <v>243</v>
      </c>
      <c r="E269" s="12" t="s">
        <v>392</v>
      </c>
      <c r="F269" s="29" t="s">
        <v>346</v>
      </c>
      <c r="G269" s="30" t="s">
        <v>398</v>
      </c>
      <c r="H269" s="13" t="s">
        <v>22</v>
      </c>
      <c r="I269" s="237">
        <v>650</v>
      </c>
      <c r="J269" s="30"/>
      <c r="K269" s="30">
        <v>0</v>
      </c>
    </row>
    <row r="270" spans="1:11" ht="15" customHeight="1">
      <c r="A270" s="5"/>
      <c r="B270" s="156" t="s">
        <v>399</v>
      </c>
      <c r="C270" s="27"/>
      <c r="D270" s="28" t="s">
        <v>400</v>
      </c>
      <c r="E270" s="12"/>
      <c r="F270" s="29"/>
      <c r="G270" s="11" t="s">
        <v>401</v>
      </c>
      <c r="H270" s="13" t="s">
        <v>20</v>
      </c>
      <c r="I270" s="237">
        <v>180</v>
      </c>
      <c r="J270" s="30"/>
      <c r="K270" s="30">
        <f>I270*J270</f>
        <v>0</v>
      </c>
    </row>
    <row r="271" spans="1:11" ht="15" customHeight="1">
      <c r="A271" s="5"/>
      <c r="B271" s="238" t="s">
        <v>402</v>
      </c>
      <c r="C271" s="96"/>
      <c r="D271" s="235" t="s">
        <v>116</v>
      </c>
      <c r="E271" s="64" t="s">
        <v>383</v>
      </c>
      <c r="F271" s="239" t="s">
        <v>213</v>
      </c>
      <c r="G271" s="97" t="s">
        <v>396</v>
      </c>
      <c r="H271" s="240" t="s">
        <v>22</v>
      </c>
      <c r="I271" s="240">
        <v>280</v>
      </c>
      <c r="J271" s="60"/>
      <c r="K271" s="60">
        <v>0</v>
      </c>
    </row>
    <row r="272" spans="1:11" ht="15" customHeight="1">
      <c r="A272" s="5"/>
      <c r="B272" s="170" t="str">
        <f>HYPERLINK("http://www.amare-moscow.ru/catalog/midii/myaso_midiy_v_m_100_200_sht_v_kg_10_kg_chili/","Мясо мидий 100/200 в/м")</f>
        <v>Мясо мидий 100/200 в/м</v>
      </c>
      <c r="C272" s="7"/>
      <c r="D272" s="67" t="s">
        <v>403</v>
      </c>
      <c r="E272" s="12" t="s">
        <v>383</v>
      </c>
      <c r="F272" s="10" t="s">
        <v>404</v>
      </c>
      <c r="G272" s="11" t="s">
        <v>405</v>
      </c>
      <c r="H272" s="13" t="s">
        <v>22</v>
      </c>
      <c r="I272" s="13">
        <v>345</v>
      </c>
      <c r="J272" s="88"/>
      <c r="K272" s="88">
        <v>0</v>
      </c>
    </row>
    <row r="273" spans="1:11" ht="15" customHeight="1">
      <c r="A273" s="5"/>
      <c r="B273" s="170" t="str">
        <f>HYPERLINK("http://www.amare-moscow.ru/catalog/mollyuski/myaso_midiy_v_m_200_300_sht_v_kg_don_kreveton_10_kg_chili/","Мясо мидий 200/300 в/м")</f>
        <v>Мясо мидий 200/300 в/м</v>
      </c>
      <c r="C273" s="7"/>
      <c r="D273" s="67" t="s">
        <v>116</v>
      </c>
      <c r="E273" s="12" t="s">
        <v>383</v>
      </c>
      <c r="F273" s="10" t="s">
        <v>213</v>
      </c>
      <c r="G273" s="11" t="s">
        <v>389</v>
      </c>
      <c r="H273" s="13" t="s">
        <v>22</v>
      </c>
      <c r="I273" s="13" t="s">
        <v>143</v>
      </c>
      <c r="J273" s="88"/>
      <c r="K273" s="88">
        <v>0</v>
      </c>
    </row>
    <row r="274" spans="1:11" ht="15" customHeight="1">
      <c r="A274" s="5"/>
      <c r="B274" s="241" t="str">
        <f>HYPERLINK("http://www.amare-moscow.ru/catalog/midii/myaso_midiy_v_m_300_500_sht_v_kg_don_kreveton_10_kg_chili/","Мясо мидий 300/500 в/м")</f>
        <v>Мясо мидий 300/500 в/м</v>
      </c>
      <c r="C274" s="242"/>
      <c r="D274" s="243" t="s">
        <v>406</v>
      </c>
      <c r="E274" s="244" t="s">
        <v>383</v>
      </c>
      <c r="F274" s="245" t="s">
        <v>213</v>
      </c>
      <c r="G274" s="246" t="s">
        <v>393</v>
      </c>
      <c r="H274" s="247" t="s">
        <v>22</v>
      </c>
      <c r="I274" s="247" t="s">
        <v>143</v>
      </c>
      <c r="J274" s="246"/>
      <c r="K274" s="246">
        <v>0</v>
      </c>
    </row>
    <row r="275" spans="1:11" ht="26.25" customHeight="1">
      <c r="A275" s="95"/>
      <c r="B275" s="248" t="s">
        <v>407</v>
      </c>
      <c r="C275" s="22"/>
      <c r="D275" s="23" t="s">
        <v>28</v>
      </c>
      <c r="E275" s="23" t="s">
        <v>29</v>
      </c>
      <c r="F275" s="24" t="s">
        <v>30</v>
      </c>
      <c r="G275" s="23" t="s">
        <v>31</v>
      </c>
      <c r="H275" s="25" t="s">
        <v>32</v>
      </c>
      <c r="I275" s="24" t="s">
        <v>33</v>
      </c>
      <c r="J275" s="24" t="s">
        <v>34</v>
      </c>
      <c r="K275" s="23" t="s">
        <v>35</v>
      </c>
    </row>
    <row r="276" spans="1:11" ht="15" customHeight="1">
      <c r="A276" s="5"/>
      <c r="B276" s="156" t="s">
        <v>408</v>
      </c>
      <c r="C276" s="151"/>
      <c r="D276" s="12" t="s">
        <v>243</v>
      </c>
      <c r="E276" s="12" t="s">
        <v>220</v>
      </c>
      <c r="F276" s="30" t="s">
        <v>39</v>
      </c>
      <c r="G276" s="30" t="s">
        <v>244</v>
      </c>
      <c r="H276" s="152" t="s">
        <v>20</v>
      </c>
      <c r="I276" s="153">
        <v>170</v>
      </c>
      <c r="J276" s="151"/>
      <c r="K276" s="30">
        <f t="shared" ref="K276:K277" si="32">I276*J276</f>
        <v>0</v>
      </c>
    </row>
    <row r="277" spans="1:11" ht="15" customHeight="1">
      <c r="A277" s="5"/>
      <c r="B277" s="156" t="s">
        <v>409</v>
      </c>
      <c r="C277" s="151"/>
      <c r="D277" s="12" t="s">
        <v>243</v>
      </c>
      <c r="E277" s="12" t="s">
        <v>220</v>
      </c>
      <c r="F277" s="30" t="s">
        <v>39</v>
      </c>
      <c r="G277" s="30" t="s">
        <v>244</v>
      </c>
      <c r="H277" s="152" t="s">
        <v>20</v>
      </c>
      <c r="I277" s="153">
        <v>160</v>
      </c>
      <c r="J277" s="151"/>
      <c r="K277" s="30">
        <f t="shared" si="32"/>
        <v>0</v>
      </c>
    </row>
    <row r="278" spans="1:11" ht="26.25" customHeight="1">
      <c r="A278" s="20"/>
      <c r="B278" s="200" t="str">
        <f>HYPERLINK("http://amare-moscow.ru/catalog/morskoy_kokteyl/","Морской коктейль ")</f>
        <v xml:space="preserve">Морской коктейль </v>
      </c>
      <c r="C278" s="22"/>
      <c r="D278" s="23" t="s">
        <v>28</v>
      </c>
      <c r="E278" s="23" t="s">
        <v>29</v>
      </c>
      <c r="F278" s="24" t="s">
        <v>30</v>
      </c>
      <c r="G278" s="23" t="s">
        <v>31</v>
      </c>
      <c r="H278" s="25" t="s">
        <v>32</v>
      </c>
      <c r="I278" s="24" t="s">
        <v>33</v>
      </c>
      <c r="J278" s="24" t="s">
        <v>34</v>
      </c>
      <c r="K278" s="23" t="s">
        <v>35</v>
      </c>
    </row>
    <row r="279" spans="1:11" ht="15" customHeight="1">
      <c r="A279" s="5"/>
      <c r="B279" s="249" t="s">
        <v>410</v>
      </c>
      <c r="C279" s="7"/>
      <c r="D279" s="67" t="s">
        <v>411</v>
      </c>
      <c r="E279" s="12" t="s">
        <v>220</v>
      </c>
      <c r="F279" s="10" t="s">
        <v>213</v>
      </c>
      <c r="G279" s="11" t="s">
        <v>401</v>
      </c>
      <c r="H279" s="13" t="s">
        <v>22</v>
      </c>
      <c r="I279" s="47">
        <v>600</v>
      </c>
      <c r="J279" s="11"/>
      <c r="K279" s="11">
        <v>0</v>
      </c>
    </row>
    <row r="280" spans="1:11" ht="15" customHeight="1">
      <c r="A280" s="5"/>
      <c r="B280" s="249" t="s">
        <v>410</v>
      </c>
      <c r="C280" s="7"/>
      <c r="D280" s="67" t="s">
        <v>61</v>
      </c>
      <c r="E280" s="12" t="s">
        <v>220</v>
      </c>
      <c r="F280" s="10" t="s">
        <v>213</v>
      </c>
      <c r="G280" s="11" t="s">
        <v>401</v>
      </c>
      <c r="H280" s="13" t="s">
        <v>22</v>
      </c>
      <c r="I280" s="47">
        <v>550</v>
      </c>
      <c r="J280" s="11"/>
      <c r="K280" s="11">
        <f t="shared" ref="K280:K281" si="33">I280*J280</f>
        <v>0</v>
      </c>
    </row>
    <row r="281" spans="1:11" ht="15" customHeight="1">
      <c r="A281" s="5"/>
      <c r="B281" s="250" t="s">
        <v>412</v>
      </c>
      <c r="C281" s="7"/>
      <c r="D281" s="67" t="s">
        <v>413</v>
      </c>
      <c r="E281" s="12" t="s">
        <v>220</v>
      </c>
      <c r="F281" s="10" t="s">
        <v>414</v>
      </c>
      <c r="G281" s="11" t="s">
        <v>401</v>
      </c>
      <c r="H281" s="13" t="s">
        <v>22</v>
      </c>
      <c r="I281" s="47">
        <v>500</v>
      </c>
      <c r="J281" s="11"/>
      <c r="K281" s="11">
        <f t="shared" si="33"/>
        <v>0</v>
      </c>
    </row>
    <row r="282" spans="1:11" ht="26.25" customHeight="1">
      <c r="A282" s="20"/>
      <c r="B282" s="200" t="str">
        <f>HYPERLINK("http://www.amare-moscow.ru/catalog/osminogi/","Осьминоги")</f>
        <v>Осьминоги</v>
      </c>
      <c r="C282" s="22"/>
      <c r="D282" s="23" t="s">
        <v>28</v>
      </c>
      <c r="E282" s="23" t="s">
        <v>29</v>
      </c>
      <c r="F282" s="24" t="s">
        <v>30</v>
      </c>
      <c r="G282" s="23" t="s">
        <v>31</v>
      </c>
      <c r="H282" s="25" t="s">
        <v>32</v>
      </c>
      <c r="I282" s="24" t="s">
        <v>33</v>
      </c>
      <c r="J282" s="24" t="s">
        <v>34</v>
      </c>
      <c r="K282" s="23" t="s">
        <v>35</v>
      </c>
    </row>
    <row r="283" spans="1:11" ht="19.5" customHeight="1">
      <c r="A283" s="5"/>
      <c r="B283" s="251" t="s">
        <v>415</v>
      </c>
      <c r="C283" s="7"/>
      <c r="D283" s="67">
        <v>15</v>
      </c>
      <c r="E283" s="12" t="s">
        <v>241</v>
      </c>
      <c r="F283" s="10" t="s">
        <v>213</v>
      </c>
      <c r="G283" s="11" t="s">
        <v>416</v>
      </c>
      <c r="H283" s="138" t="s">
        <v>22</v>
      </c>
      <c r="I283" s="190" t="s">
        <v>143</v>
      </c>
      <c r="J283" s="91"/>
      <c r="K283" s="11">
        <v>0</v>
      </c>
    </row>
    <row r="284" spans="1:11" ht="19.5" customHeight="1">
      <c r="A284" s="5"/>
      <c r="B284" s="251" t="s">
        <v>417</v>
      </c>
      <c r="C284" s="7"/>
      <c r="D284" s="67">
        <v>15</v>
      </c>
      <c r="E284" s="12" t="s">
        <v>241</v>
      </c>
      <c r="F284" s="10" t="s">
        <v>213</v>
      </c>
      <c r="G284" s="11" t="s">
        <v>416</v>
      </c>
      <c r="H284" s="13" t="s">
        <v>22</v>
      </c>
      <c r="I284" s="190">
        <v>700</v>
      </c>
      <c r="J284" s="11"/>
      <c r="K284" s="11">
        <v>0</v>
      </c>
    </row>
    <row r="285" spans="1:11" ht="22.5" customHeight="1">
      <c r="A285" s="5"/>
      <c r="B285" s="251" t="s">
        <v>418</v>
      </c>
      <c r="C285" s="7"/>
      <c r="D285" s="67">
        <v>15</v>
      </c>
      <c r="E285" s="12" t="s">
        <v>241</v>
      </c>
      <c r="F285" s="10" t="s">
        <v>213</v>
      </c>
      <c r="G285" s="11" t="s">
        <v>416</v>
      </c>
      <c r="H285" s="13" t="s">
        <v>22</v>
      </c>
      <c r="I285" s="190">
        <v>720</v>
      </c>
      <c r="J285" s="11"/>
      <c r="K285" s="11">
        <v>0</v>
      </c>
    </row>
    <row r="286" spans="1:11" ht="15" customHeight="1">
      <c r="A286" s="5"/>
      <c r="B286" s="201" t="s">
        <v>419</v>
      </c>
      <c r="C286" s="27"/>
      <c r="D286" s="28" t="s">
        <v>420</v>
      </c>
      <c r="E286" s="12" t="s">
        <v>241</v>
      </c>
      <c r="F286" s="29" t="s">
        <v>213</v>
      </c>
      <c r="G286" s="30" t="s">
        <v>421</v>
      </c>
      <c r="H286" s="13" t="s">
        <v>22</v>
      </c>
      <c r="I286" s="47">
        <v>555</v>
      </c>
      <c r="J286" s="30"/>
      <c r="K286" s="30">
        <v>0</v>
      </c>
    </row>
    <row r="287" spans="1:11" ht="15" customHeight="1">
      <c r="A287" s="5"/>
      <c r="B287" s="201" t="s">
        <v>422</v>
      </c>
      <c r="C287" s="27"/>
      <c r="D287" s="28" t="s">
        <v>420</v>
      </c>
      <c r="E287" s="12" t="s">
        <v>241</v>
      </c>
      <c r="F287" s="29" t="s">
        <v>213</v>
      </c>
      <c r="G287" s="30" t="s">
        <v>421</v>
      </c>
      <c r="H287" s="13" t="s">
        <v>22</v>
      </c>
      <c r="I287" s="47">
        <v>590</v>
      </c>
      <c r="J287" s="30"/>
      <c r="K287" s="30">
        <v>0</v>
      </c>
    </row>
    <row r="288" spans="1:11" ht="15" customHeight="1">
      <c r="A288" s="5"/>
      <c r="B288" s="201" t="s">
        <v>423</v>
      </c>
      <c r="C288" s="27"/>
      <c r="D288" s="28" t="s">
        <v>339</v>
      </c>
      <c r="E288" s="12" t="s">
        <v>241</v>
      </c>
      <c r="F288" s="29" t="s">
        <v>346</v>
      </c>
      <c r="G288" s="30" t="s">
        <v>421</v>
      </c>
      <c r="H288" s="13" t="s">
        <v>22</v>
      </c>
      <c r="I288" s="47">
        <v>580</v>
      </c>
      <c r="J288" s="169"/>
      <c r="K288" s="30">
        <v>0</v>
      </c>
    </row>
    <row r="289" spans="1:11" ht="26.25" customHeight="1">
      <c r="A289" s="95"/>
      <c r="B289" s="252"/>
      <c r="C289" s="22"/>
      <c r="D289" s="253"/>
      <c r="E289" s="23"/>
      <c r="F289" s="24"/>
      <c r="G289" s="23"/>
      <c r="H289" s="25"/>
      <c r="I289" s="24"/>
      <c r="J289" s="24"/>
      <c r="K289" s="23"/>
    </row>
    <row r="290" spans="1:11" ht="15" customHeight="1">
      <c r="A290" s="5"/>
      <c r="B290" s="254" t="s">
        <v>424</v>
      </c>
      <c r="C290" s="27"/>
      <c r="D290" s="28" t="s">
        <v>339</v>
      </c>
      <c r="E290" s="12"/>
      <c r="F290" s="29"/>
      <c r="G290" s="30" t="s">
        <v>421</v>
      </c>
      <c r="H290" s="138" t="s">
        <v>124</v>
      </c>
      <c r="I290" s="190">
        <v>680</v>
      </c>
      <c r="J290" s="169"/>
      <c r="K290" s="30">
        <f>I290*J290</f>
        <v>0</v>
      </c>
    </row>
    <row r="291" spans="1:11" ht="26.25" customHeight="1">
      <c r="A291" s="20"/>
      <c r="B291" s="200" t="str">
        <f>HYPERLINK("http://www.amare-moscow.ru/catalog/kalmar/","Кальмар")</f>
        <v>Кальмар</v>
      </c>
      <c r="C291" s="22"/>
      <c r="D291" s="23"/>
      <c r="E291" s="23" t="s">
        <v>29</v>
      </c>
      <c r="F291" s="24" t="s">
        <v>30</v>
      </c>
      <c r="G291" s="23" t="s">
        <v>31</v>
      </c>
      <c r="H291" s="25" t="s">
        <v>32</v>
      </c>
      <c r="I291" s="24" t="s">
        <v>33</v>
      </c>
      <c r="J291" s="24" t="s">
        <v>34</v>
      </c>
      <c r="K291" s="23" t="s">
        <v>35</v>
      </c>
    </row>
    <row r="292" spans="1:11" ht="15" customHeight="1">
      <c r="A292" s="5"/>
      <c r="B292" s="156" t="s">
        <v>236</v>
      </c>
      <c r="C292" s="7"/>
      <c r="D292" s="28" t="s">
        <v>47</v>
      </c>
      <c r="E292" s="12" t="s">
        <v>237</v>
      </c>
      <c r="F292" s="10" t="s">
        <v>238</v>
      </c>
      <c r="G292" s="11" t="s">
        <v>19</v>
      </c>
      <c r="H292" s="13" t="s">
        <v>20</v>
      </c>
      <c r="I292" s="13">
        <v>235</v>
      </c>
      <c r="J292" s="11"/>
      <c r="K292" s="11">
        <f t="shared" ref="K292:K293" si="34">I292*J292</f>
        <v>0</v>
      </c>
    </row>
    <row r="293" spans="1:11" ht="15" customHeight="1">
      <c r="A293" s="5"/>
      <c r="B293" s="201" t="s">
        <v>239</v>
      </c>
      <c r="C293" s="7"/>
      <c r="D293" s="28" t="s">
        <v>47</v>
      </c>
      <c r="E293" s="12"/>
      <c r="F293" s="10" t="s">
        <v>238</v>
      </c>
      <c r="G293" s="11" t="s">
        <v>19</v>
      </c>
      <c r="H293" s="13" t="s">
        <v>20</v>
      </c>
      <c r="I293" s="13">
        <v>150</v>
      </c>
      <c r="J293" s="11"/>
      <c r="K293" s="11">
        <f t="shared" si="34"/>
        <v>0</v>
      </c>
    </row>
    <row r="294" spans="1:11" ht="15" customHeight="1">
      <c r="A294" s="5"/>
      <c r="B294" s="255" t="s">
        <v>425</v>
      </c>
      <c r="C294" s="86"/>
      <c r="D294" s="87" t="s">
        <v>426</v>
      </c>
      <c r="E294" s="85"/>
      <c r="F294" s="193" t="s">
        <v>238</v>
      </c>
      <c r="G294" s="88" t="s">
        <v>19</v>
      </c>
      <c r="H294" s="47" t="s">
        <v>22</v>
      </c>
      <c r="I294" s="47">
        <v>445</v>
      </c>
      <c r="J294" s="11"/>
      <c r="K294" s="11">
        <v>0</v>
      </c>
    </row>
    <row r="295" spans="1:11" ht="15" customHeight="1">
      <c r="A295" s="5"/>
      <c r="B295" s="256" t="s">
        <v>427</v>
      </c>
      <c r="C295" s="86"/>
      <c r="D295" s="87">
        <v>22.5</v>
      </c>
      <c r="E295" s="85"/>
      <c r="F295" s="193"/>
      <c r="G295" s="88" t="s">
        <v>305</v>
      </c>
      <c r="H295" s="47" t="s">
        <v>22</v>
      </c>
      <c r="I295" s="47">
        <v>370</v>
      </c>
      <c r="J295" s="11"/>
      <c r="K295" s="11">
        <f>I295*J295</f>
        <v>0</v>
      </c>
    </row>
    <row r="296" spans="1:11" ht="15" customHeight="1">
      <c r="A296" s="5"/>
      <c r="B296" s="257" t="s">
        <v>428</v>
      </c>
      <c r="C296" s="86"/>
      <c r="D296" s="87" t="s">
        <v>429</v>
      </c>
      <c r="E296" s="85"/>
      <c r="F296" s="193"/>
      <c r="G296" s="88" t="s">
        <v>305</v>
      </c>
      <c r="H296" s="47" t="s">
        <v>22</v>
      </c>
      <c r="I296" s="47" t="s">
        <v>143</v>
      </c>
      <c r="J296" s="11"/>
      <c r="K296" s="11">
        <v>0</v>
      </c>
    </row>
    <row r="297" spans="1:11">
      <c r="A297" s="460" t="s">
        <v>430</v>
      </c>
      <c r="B297" s="457"/>
      <c r="C297" s="457"/>
      <c r="D297" s="457"/>
      <c r="E297" s="457"/>
      <c r="F297" s="457"/>
      <c r="G297" s="457"/>
      <c r="H297" s="457"/>
      <c r="I297" s="457"/>
      <c r="J297" s="457"/>
      <c r="K297" s="459"/>
    </row>
    <row r="298" spans="1:11" ht="26.25" customHeight="1">
      <c r="A298" s="20"/>
      <c r="B298" s="200" t="str">
        <f>HYPERLINK("http://www.amare-moscow.ru/catalog/moreprodukty_dlya_sushi/","Японские салаты с/м")</f>
        <v>Японские салаты с/м</v>
      </c>
      <c r="C298" s="22"/>
      <c r="D298" s="23" t="s">
        <v>28</v>
      </c>
      <c r="E298" s="23" t="s">
        <v>29</v>
      </c>
      <c r="F298" s="24" t="s">
        <v>30</v>
      </c>
      <c r="G298" s="23" t="s">
        <v>31</v>
      </c>
      <c r="H298" s="24" t="s">
        <v>32</v>
      </c>
      <c r="I298" s="24" t="s">
        <v>33</v>
      </c>
      <c r="J298" s="24" t="s">
        <v>34</v>
      </c>
      <c r="K298" s="23" t="s">
        <v>35</v>
      </c>
    </row>
    <row r="299" spans="1:11" ht="15" customHeight="1">
      <c r="A299" s="5"/>
      <c r="B299" s="150" t="str">
        <f>HYPERLINK("http://www.amare-moscow.ru/catalog/moreprodukty_dlya_sushi/salat_iz_grebeshka_s_m_don_kreveton_1kg_10sht_kitay/","Салат из гребешка с/м (Чука Хотате)")</f>
        <v>Салат из гребешка с/м (Чука Хотате)</v>
      </c>
      <c r="C299" s="27"/>
      <c r="D299" s="28" t="s">
        <v>339</v>
      </c>
      <c r="E299" s="12" t="s">
        <v>431</v>
      </c>
      <c r="F299" s="29" t="s">
        <v>432</v>
      </c>
      <c r="G299" s="30" t="s">
        <v>214</v>
      </c>
      <c r="H299" s="13" t="s">
        <v>22</v>
      </c>
      <c r="I299" s="13">
        <v>700</v>
      </c>
      <c r="J299" s="30"/>
      <c r="K299" s="30">
        <v>0</v>
      </c>
    </row>
    <row r="300" spans="1:11" ht="15" customHeight="1">
      <c r="A300" s="5"/>
      <c r="B300" s="150" t="str">
        <f>HYPERLINK("http://www.amare-moscow.ru/catalog/moreprodukty_dlya_sushi/salat_iz_meduzy_s_m_don_kreveton_1kg_10sht_kitay/","Салат из медузы с/м (Чука Кураге)")</f>
        <v>Салат из медузы с/м (Чука Кураге)</v>
      </c>
      <c r="C300" s="27"/>
      <c r="D300" s="28" t="s">
        <v>339</v>
      </c>
      <c r="E300" s="12" t="s">
        <v>433</v>
      </c>
      <c r="F300" s="29" t="s">
        <v>432</v>
      </c>
      <c r="G300" s="30" t="s">
        <v>214</v>
      </c>
      <c r="H300" s="13" t="s">
        <v>22</v>
      </c>
      <c r="I300" s="13" t="s">
        <v>143</v>
      </c>
      <c r="J300" s="30"/>
      <c r="K300" s="30">
        <v>0</v>
      </c>
    </row>
    <row r="301" spans="1:11" ht="15" customHeight="1">
      <c r="A301" s="5"/>
      <c r="B301" s="156" t="s">
        <v>434</v>
      </c>
      <c r="C301" s="27"/>
      <c r="D301" s="28" t="s">
        <v>339</v>
      </c>
      <c r="E301" s="12"/>
      <c r="F301" s="29" t="s">
        <v>432</v>
      </c>
      <c r="G301" s="30" t="s">
        <v>214</v>
      </c>
      <c r="H301" s="13" t="s">
        <v>22</v>
      </c>
      <c r="I301" s="13">
        <v>1050</v>
      </c>
      <c r="J301" s="169"/>
      <c r="K301" s="30">
        <f t="shared" ref="K301:K303" si="35">I301*J301</f>
        <v>0</v>
      </c>
    </row>
    <row r="302" spans="1:11" ht="15" customHeight="1">
      <c r="A302" s="5"/>
      <c r="B302" s="156" t="s">
        <v>199</v>
      </c>
      <c r="C302" s="27"/>
      <c r="D302" s="28" t="s">
        <v>339</v>
      </c>
      <c r="E302" s="12"/>
      <c r="F302" s="29" t="s">
        <v>432</v>
      </c>
      <c r="G302" s="30" t="s">
        <v>214</v>
      </c>
      <c r="H302" s="13" t="s">
        <v>22</v>
      </c>
      <c r="I302" s="13">
        <v>1200</v>
      </c>
      <c r="J302" s="169"/>
      <c r="K302" s="30">
        <f t="shared" si="35"/>
        <v>0</v>
      </c>
    </row>
    <row r="303" spans="1:11" ht="15" customHeight="1">
      <c r="A303" s="5"/>
      <c r="B303" s="156" t="s">
        <v>435</v>
      </c>
      <c r="C303" s="27"/>
      <c r="D303" s="28" t="s">
        <v>339</v>
      </c>
      <c r="E303" s="12"/>
      <c r="F303" s="29" t="s">
        <v>432</v>
      </c>
      <c r="G303" s="30" t="s">
        <v>214</v>
      </c>
      <c r="H303" s="13" t="s">
        <v>22</v>
      </c>
      <c r="I303" s="13">
        <v>880</v>
      </c>
      <c r="J303" s="169"/>
      <c r="K303" s="30">
        <f t="shared" si="35"/>
        <v>0</v>
      </c>
    </row>
    <row r="304" spans="1:11" ht="15" customHeight="1">
      <c r="A304" s="5"/>
      <c r="B304" s="156" t="s">
        <v>436</v>
      </c>
      <c r="C304" s="27"/>
      <c r="D304" s="28" t="s">
        <v>339</v>
      </c>
      <c r="E304" s="12"/>
      <c r="F304" s="29" t="s">
        <v>432</v>
      </c>
      <c r="G304" s="30" t="s">
        <v>214</v>
      </c>
      <c r="H304" s="13" t="s">
        <v>22</v>
      </c>
      <c r="I304" s="13">
        <v>610</v>
      </c>
      <c r="J304" s="169"/>
      <c r="K304" s="30">
        <v>0</v>
      </c>
    </row>
    <row r="305" spans="1:11" ht="15" customHeight="1">
      <c r="A305" s="5"/>
      <c r="B305" s="156" t="s">
        <v>437</v>
      </c>
      <c r="C305" s="27"/>
      <c r="D305" s="28" t="s">
        <v>339</v>
      </c>
      <c r="E305" s="12"/>
      <c r="F305" s="29" t="s">
        <v>432</v>
      </c>
      <c r="G305" s="30" t="s">
        <v>214</v>
      </c>
      <c r="H305" s="13" t="s">
        <v>22</v>
      </c>
      <c r="I305" s="13">
        <v>750</v>
      </c>
      <c r="J305" s="169"/>
      <c r="K305" s="30">
        <v>0</v>
      </c>
    </row>
    <row r="306" spans="1:11" ht="26.25" customHeight="1">
      <c r="A306" s="20"/>
      <c r="B306" s="200" t="str">
        <f>HYPERLINK("http://www.amare-moscow.ru/catalog/morskie_vodorosli_/","Морские водоросли")</f>
        <v>Морские водоросли</v>
      </c>
      <c r="C306" s="22"/>
      <c r="D306" s="23" t="s">
        <v>28</v>
      </c>
      <c r="E306" s="23" t="s">
        <v>29</v>
      </c>
      <c r="F306" s="24" t="s">
        <v>30</v>
      </c>
      <c r="G306" s="23" t="s">
        <v>31</v>
      </c>
      <c r="H306" s="25" t="s">
        <v>32</v>
      </c>
      <c r="I306" s="24" t="s">
        <v>33</v>
      </c>
      <c r="J306" s="24" t="s">
        <v>34</v>
      </c>
      <c r="K306" s="23" t="s">
        <v>35</v>
      </c>
    </row>
    <row r="307" spans="1:11" ht="15" customHeight="1">
      <c r="A307" s="5"/>
      <c r="B307" s="201" t="s">
        <v>438</v>
      </c>
      <c r="C307" s="27"/>
      <c r="D307" s="28" t="s">
        <v>439</v>
      </c>
      <c r="E307" s="12"/>
      <c r="F307" s="29" t="s">
        <v>213</v>
      </c>
      <c r="G307" s="30" t="s">
        <v>214</v>
      </c>
      <c r="H307" s="13" t="s">
        <v>22</v>
      </c>
      <c r="I307" s="13">
        <v>270</v>
      </c>
      <c r="J307" s="30"/>
      <c r="K307" s="30">
        <v>0</v>
      </c>
    </row>
    <row r="308" spans="1:11" ht="15" customHeight="1">
      <c r="A308" s="5"/>
      <c r="B308" s="150" t="str">
        <f>HYPERLINK("http://www.amare-moscow.ru/catalog/morskie_vodorosli_/salat_iz_morskikh_vodorosley_chuka_time_seafood_s_m_don_kreveton_1kg_10sht_kitay/","Салат из мор. водорослей Чука Time SeaFood с/м")</f>
        <v>Салат из мор. водорослей Чука Time SeaFood с/м</v>
      </c>
      <c r="C308" s="27"/>
      <c r="D308" s="28" t="s">
        <v>339</v>
      </c>
      <c r="E308" s="12" t="s">
        <v>440</v>
      </c>
      <c r="F308" s="29" t="s">
        <v>213</v>
      </c>
      <c r="G308" s="30" t="s">
        <v>214</v>
      </c>
      <c r="H308" s="13" t="s">
        <v>22</v>
      </c>
      <c r="I308" s="13">
        <v>245</v>
      </c>
      <c r="J308" s="30"/>
      <c r="K308" s="30">
        <v>0</v>
      </c>
    </row>
    <row r="309" spans="1:11" ht="15" customHeight="1">
      <c r="A309" s="5"/>
      <c r="B309" s="156" t="s">
        <v>441</v>
      </c>
      <c r="C309" s="27"/>
      <c r="D309" s="28" t="s">
        <v>339</v>
      </c>
      <c r="E309" s="119" t="s">
        <v>442</v>
      </c>
      <c r="F309" s="29" t="s">
        <v>213</v>
      </c>
      <c r="G309" s="30" t="s">
        <v>214</v>
      </c>
      <c r="H309" s="217" t="s">
        <v>22</v>
      </c>
      <c r="I309" s="13">
        <v>370</v>
      </c>
      <c r="J309" s="30"/>
      <c r="K309" s="30">
        <v>0</v>
      </c>
    </row>
    <row r="310" spans="1:11" ht="15" customHeight="1">
      <c r="A310" s="5"/>
      <c r="B310" s="156" t="s">
        <v>441</v>
      </c>
      <c r="C310" s="27"/>
      <c r="D310" s="28" t="s">
        <v>413</v>
      </c>
      <c r="E310" s="119" t="s">
        <v>442</v>
      </c>
      <c r="F310" s="29" t="s">
        <v>39</v>
      </c>
      <c r="G310" s="30" t="s">
        <v>19</v>
      </c>
      <c r="H310" s="13" t="s">
        <v>22</v>
      </c>
      <c r="I310" s="13" t="s">
        <v>143</v>
      </c>
      <c r="J310" s="30"/>
      <c r="K310" s="30">
        <v>0</v>
      </c>
    </row>
    <row r="311" spans="1:11" ht="15" customHeight="1">
      <c r="A311" s="5"/>
      <c r="B311" s="26" t="s">
        <v>443</v>
      </c>
      <c r="C311" s="27"/>
      <c r="D311" s="28" t="s">
        <v>444</v>
      </c>
      <c r="E311" s="12"/>
      <c r="F311" s="29" t="s">
        <v>213</v>
      </c>
      <c r="G311" s="30" t="s">
        <v>445</v>
      </c>
      <c r="H311" s="13" t="s">
        <v>20</v>
      </c>
      <c r="I311" s="13" t="s">
        <v>143</v>
      </c>
      <c r="J311" s="30"/>
      <c r="K311" s="30">
        <v>0</v>
      </c>
    </row>
    <row r="312" spans="1:11" ht="15" customHeight="1">
      <c r="A312" s="258"/>
      <c r="B312" s="259" t="s">
        <v>443</v>
      </c>
      <c r="C312" s="260"/>
      <c r="D312" s="232" t="s">
        <v>413</v>
      </c>
      <c r="E312" s="184"/>
      <c r="F312" s="261" t="s">
        <v>213</v>
      </c>
      <c r="G312" s="184" t="s">
        <v>214</v>
      </c>
      <c r="H312" s="262" t="s">
        <v>22</v>
      </c>
      <c r="I312" s="262">
        <v>1400</v>
      </c>
      <c r="J312" s="11"/>
      <c r="K312" s="11">
        <v>0</v>
      </c>
    </row>
    <row r="313" spans="1:11" ht="15" customHeight="1">
      <c r="A313" s="5"/>
      <c r="B313" s="156" t="s">
        <v>446</v>
      </c>
      <c r="C313" s="27"/>
      <c r="D313" s="28" t="s">
        <v>447</v>
      </c>
      <c r="E313" s="12"/>
      <c r="F313" s="29" t="s">
        <v>39</v>
      </c>
      <c r="G313" s="30" t="s">
        <v>445</v>
      </c>
      <c r="H313" s="13" t="s">
        <v>20</v>
      </c>
      <c r="I313" s="13">
        <v>220</v>
      </c>
      <c r="J313" s="30"/>
      <c r="K313" s="30">
        <f t="shared" ref="K313:K315" si="36">I313*J313</f>
        <v>0</v>
      </c>
    </row>
    <row r="314" spans="1:11" ht="15" customHeight="1">
      <c r="A314" s="5"/>
      <c r="B314" s="156" t="s">
        <v>448</v>
      </c>
      <c r="C314" s="27"/>
      <c r="D314" s="28" t="s">
        <v>444</v>
      </c>
      <c r="E314" s="12"/>
      <c r="F314" s="29" t="s">
        <v>39</v>
      </c>
      <c r="G314" s="30" t="s">
        <v>445</v>
      </c>
      <c r="H314" s="13" t="s">
        <v>20</v>
      </c>
      <c r="I314" s="13">
        <v>100</v>
      </c>
      <c r="J314" s="30"/>
      <c r="K314" s="30">
        <f t="shared" si="36"/>
        <v>0</v>
      </c>
    </row>
    <row r="315" spans="1:11" ht="15" customHeight="1">
      <c r="A315" s="5"/>
      <c r="B315" s="156" t="s">
        <v>449</v>
      </c>
      <c r="C315" s="27"/>
      <c r="D315" s="28" t="s">
        <v>406</v>
      </c>
      <c r="E315" s="12"/>
      <c r="F315" s="29" t="s">
        <v>450</v>
      </c>
      <c r="G315" s="30" t="s">
        <v>244</v>
      </c>
      <c r="H315" s="13" t="s">
        <v>22</v>
      </c>
      <c r="I315" s="13">
        <v>980</v>
      </c>
      <c r="J315" s="30"/>
      <c r="K315" s="30">
        <f t="shared" si="36"/>
        <v>0</v>
      </c>
    </row>
    <row r="316" spans="1:11" ht="15" customHeight="1">
      <c r="A316" s="5"/>
      <c r="B316" s="263" t="s">
        <v>446</v>
      </c>
      <c r="C316" s="69"/>
      <c r="D316" s="70" t="s">
        <v>116</v>
      </c>
      <c r="E316" s="71"/>
      <c r="F316" s="72" t="s">
        <v>213</v>
      </c>
      <c r="G316" s="73" t="s">
        <v>214</v>
      </c>
      <c r="H316" s="264" t="s">
        <v>22</v>
      </c>
      <c r="I316" s="264">
        <v>1150</v>
      </c>
      <c r="J316" s="30"/>
      <c r="K316" s="30">
        <v>0</v>
      </c>
    </row>
    <row r="317" spans="1:11" ht="15" customHeight="1">
      <c r="A317" s="5"/>
      <c r="B317" s="156" t="s">
        <v>446</v>
      </c>
      <c r="C317" s="27"/>
      <c r="D317" s="28" t="s">
        <v>451</v>
      </c>
      <c r="E317" s="12"/>
      <c r="F317" s="29" t="s">
        <v>39</v>
      </c>
      <c r="G317" s="30" t="s">
        <v>445</v>
      </c>
      <c r="H317" s="13" t="s">
        <v>20</v>
      </c>
      <c r="I317" s="13" t="s">
        <v>143</v>
      </c>
      <c r="J317" s="30"/>
      <c r="K317" s="30">
        <v>0</v>
      </c>
    </row>
    <row r="318" spans="1:11" ht="15" customHeight="1">
      <c r="A318" s="5"/>
      <c r="B318" s="26" t="s">
        <v>452</v>
      </c>
      <c r="C318" s="27"/>
      <c r="D318" s="28" t="s">
        <v>453</v>
      </c>
      <c r="E318" s="12"/>
      <c r="F318" s="29" t="s">
        <v>454</v>
      </c>
      <c r="G318" s="30" t="s">
        <v>445</v>
      </c>
      <c r="H318" s="13" t="s">
        <v>20</v>
      </c>
      <c r="I318" s="47">
        <v>250</v>
      </c>
      <c r="J318" s="30"/>
      <c r="K318" s="30">
        <v>0</v>
      </c>
    </row>
    <row r="319" spans="1:11" ht="15" customHeight="1">
      <c r="A319" s="5"/>
      <c r="B319" s="265" t="s">
        <v>455</v>
      </c>
      <c r="C319" s="27"/>
      <c r="D319" s="266" t="s">
        <v>420</v>
      </c>
      <c r="E319" s="12"/>
      <c r="F319" s="119"/>
      <c r="G319" s="267" t="s">
        <v>456</v>
      </c>
      <c r="H319" s="138" t="s">
        <v>22</v>
      </c>
      <c r="I319" s="190">
        <v>900</v>
      </c>
      <c r="J319" s="169"/>
      <c r="K319" s="30">
        <v>0</v>
      </c>
    </row>
    <row r="320" spans="1:11" ht="15" customHeight="1">
      <c r="A320" s="268" t="s">
        <v>457</v>
      </c>
      <c r="B320" s="269" t="s">
        <v>457</v>
      </c>
      <c r="C320" s="27"/>
      <c r="D320" s="266" t="s">
        <v>458</v>
      </c>
      <c r="E320" s="12"/>
      <c r="F320" s="119"/>
      <c r="G320" s="30" t="s">
        <v>445</v>
      </c>
      <c r="H320" s="138" t="s">
        <v>20</v>
      </c>
      <c r="I320" s="190">
        <v>600</v>
      </c>
      <c r="J320" s="169"/>
      <c r="K320" s="30">
        <f t="shared" ref="K320:K322" si="37">I320*J320</f>
        <v>0</v>
      </c>
    </row>
    <row r="321" spans="1:11" ht="15" customHeight="1">
      <c r="A321" s="270"/>
      <c r="B321" s="271" t="s">
        <v>459</v>
      </c>
      <c r="C321" s="272"/>
      <c r="D321" s="273" t="s">
        <v>460</v>
      </c>
      <c r="E321" s="273" t="s">
        <v>461</v>
      </c>
      <c r="F321" s="273" t="s">
        <v>450</v>
      </c>
      <c r="G321" s="273" t="s">
        <v>244</v>
      </c>
      <c r="H321" s="274" t="s">
        <v>22</v>
      </c>
      <c r="I321" s="275">
        <v>900</v>
      </c>
      <c r="J321" s="169"/>
      <c r="K321" s="30">
        <f t="shared" si="37"/>
        <v>0</v>
      </c>
    </row>
    <row r="322" spans="1:11" ht="15" customHeight="1">
      <c r="A322" s="270"/>
      <c r="B322" s="271" t="s">
        <v>462</v>
      </c>
      <c r="C322" s="272"/>
      <c r="D322" s="273" t="s">
        <v>460</v>
      </c>
      <c r="E322" s="273" t="s">
        <v>461</v>
      </c>
      <c r="F322" s="273" t="s">
        <v>450</v>
      </c>
      <c r="G322" s="273" t="s">
        <v>244</v>
      </c>
      <c r="H322" s="274" t="s">
        <v>22</v>
      </c>
      <c r="I322" s="275">
        <v>950</v>
      </c>
      <c r="J322" s="169"/>
      <c r="K322" s="30">
        <f t="shared" si="37"/>
        <v>0</v>
      </c>
    </row>
    <row r="323" spans="1:11" ht="15" customHeight="1">
      <c r="A323" s="5"/>
      <c r="B323" s="26" t="s">
        <v>463</v>
      </c>
      <c r="C323" s="27"/>
      <c r="D323" s="276" t="s">
        <v>464</v>
      </c>
      <c r="E323" s="12"/>
      <c r="F323" s="29" t="s">
        <v>454</v>
      </c>
      <c r="G323" s="30" t="s">
        <v>445</v>
      </c>
      <c r="H323" s="169" t="s">
        <v>20</v>
      </c>
      <c r="I323" s="138">
        <v>110</v>
      </c>
      <c r="J323" s="169"/>
      <c r="K323" s="30">
        <v>0</v>
      </c>
    </row>
    <row r="324" spans="1:11" ht="15" customHeight="1">
      <c r="A324" s="5"/>
      <c r="B324" s="26" t="s">
        <v>465</v>
      </c>
      <c r="C324" s="27"/>
      <c r="D324" s="277" t="s">
        <v>464</v>
      </c>
      <c r="E324" s="12"/>
      <c r="F324" s="29" t="s">
        <v>454</v>
      </c>
      <c r="G324" s="30" t="s">
        <v>445</v>
      </c>
      <c r="H324" s="169" t="s">
        <v>20</v>
      </c>
      <c r="I324" s="138">
        <v>250</v>
      </c>
      <c r="J324" s="169"/>
      <c r="K324" s="30">
        <v>0</v>
      </c>
    </row>
    <row r="325" spans="1:11" ht="15" customHeight="1">
      <c r="A325" s="5"/>
      <c r="B325" s="278" t="s">
        <v>466</v>
      </c>
      <c r="C325" s="27"/>
      <c r="D325" s="279" t="s">
        <v>464</v>
      </c>
      <c r="E325" s="12"/>
      <c r="F325" s="29" t="s">
        <v>454</v>
      </c>
      <c r="G325" s="30" t="s">
        <v>445</v>
      </c>
      <c r="H325" s="169" t="s">
        <v>20</v>
      </c>
      <c r="I325" s="138">
        <v>100</v>
      </c>
      <c r="J325" s="169"/>
      <c r="K325" s="30">
        <v>0</v>
      </c>
    </row>
    <row r="326" spans="1:11" ht="15" customHeight="1">
      <c r="A326" s="5"/>
      <c r="B326" s="26" t="s">
        <v>467</v>
      </c>
      <c r="C326" s="27"/>
      <c r="D326" s="162" t="s">
        <v>468</v>
      </c>
      <c r="E326" s="12"/>
      <c r="F326" s="29" t="s">
        <v>454</v>
      </c>
      <c r="G326" s="30" t="s">
        <v>445</v>
      </c>
      <c r="H326" s="169" t="s">
        <v>20</v>
      </c>
      <c r="I326" s="138">
        <v>130</v>
      </c>
      <c r="J326" s="169"/>
      <c r="K326" s="30">
        <f>I326*J326</f>
        <v>0</v>
      </c>
    </row>
    <row r="327" spans="1:11" ht="15" customHeight="1">
      <c r="A327" s="5"/>
      <c r="B327" s="26" t="s">
        <v>469</v>
      </c>
      <c r="C327" s="27"/>
      <c r="D327" s="162" t="s">
        <v>468</v>
      </c>
      <c r="E327" s="12"/>
      <c r="F327" s="29" t="s">
        <v>454</v>
      </c>
      <c r="G327" s="30" t="s">
        <v>445</v>
      </c>
      <c r="H327" s="169" t="s">
        <v>20</v>
      </c>
      <c r="I327" s="138">
        <v>80</v>
      </c>
      <c r="J327" s="169"/>
      <c r="K327" s="30">
        <v>0</v>
      </c>
    </row>
    <row r="328" spans="1:11" ht="15" customHeight="1">
      <c r="A328" s="5"/>
      <c r="B328" s="26" t="s">
        <v>470</v>
      </c>
      <c r="C328" s="27"/>
      <c r="D328" s="162" t="s">
        <v>468</v>
      </c>
      <c r="E328" s="12"/>
      <c r="F328" s="29" t="s">
        <v>454</v>
      </c>
      <c r="G328" s="30" t="s">
        <v>445</v>
      </c>
      <c r="H328" s="169" t="s">
        <v>20</v>
      </c>
      <c r="I328" s="138">
        <v>80</v>
      </c>
      <c r="J328" s="169"/>
      <c r="K328" s="30">
        <v>0</v>
      </c>
    </row>
    <row r="329" spans="1:11" ht="15" customHeight="1">
      <c r="A329" s="5"/>
      <c r="B329" s="26" t="s">
        <v>471</v>
      </c>
      <c r="C329" s="27"/>
      <c r="D329" s="28" t="s">
        <v>468</v>
      </c>
      <c r="E329" s="12"/>
      <c r="F329" s="29" t="s">
        <v>454</v>
      </c>
      <c r="G329" s="30" t="s">
        <v>472</v>
      </c>
      <c r="H329" s="169" t="s">
        <v>20</v>
      </c>
      <c r="I329" s="138">
        <v>220</v>
      </c>
      <c r="J329" s="169"/>
      <c r="K329" s="30">
        <v>0</v>
      </c>
    </row>
    <row r="330" spans="1:11" ht="15" customHeight="1">
      <c r="A330" s="5"/>
      <c r="B330" s="26" t="s">
        <v>473</v>
      </c>
      <c r="C330" s="27"/>
      <c r="D330" s="28" t="s">
        <v>468</v>
      </c>
      <c r="E330" s="12"/>
      <c r="F330" s="29" t="s">
        <v>454</v>
      </c>
      <c r="G330" s="30" t="s">
        <v>472</v>
      </c>
      <c r="H330" s="169" t="s">
        <v>20</v>
      </c>
      <c r="I330" s="138">
        <v>300</v>
      </c>
      <c r="J330" s="169"/>
      <c r="K330" s="30">
        <f>I330*J330</f>
        <v>0</v>
      </c>
    </row>
    <row r="331" spans="1:11" ht="15" customHeight="1">
      <c r="A331" s="5"/>
      <c r="B331" s="278" t="s">
        <v>474</v>
      </c>
      <c r="C331" s="27"/>
      <c r="D331" s="28" t="s">
        <v>464</v>
      </c>
      <c r="E331" s="12"/>
      <c r="F331" s="29" t="s">
        <v>454</v>
      </c>
      <c r="G331" s="30" t="s">
        <v>445</v>
      </c>
      <c r="H331" s="169" t="s">
        <v>20</v>
      </c>
      <c r="I331" s="138">
        <v>95</v>
      </c>
      <c r="J331" s="169"/>
      <c r="K331" s="30">
        <v>0</v>
      </c>
    </row>
    <row r="332" spans="1:11" ht="15" customHeight="1">
      <c r="A332" s="280"/>
      <c r="B332" s="26" t="s">
        <v>475</v>
      </c>
      <c r="C332" s="27"/>
      <c r="D332" s="28" t="s">
        <v>468</v>
      </c>
      <c r="E332" s="119"/>
      <c r="F332" s="29" t="s">
        <v>454</v>
      </c>
      <c r="G332" s="30" t="s">
        <v>472</v>
      </c>
      <c r="H332" s="169" t="s">
        <v>20</v>
      </c>
      <c r="I332" s="281" t="s">
        <v>476</v>
      </c>
      <c r="J332" s="169"/>
      <c r="K332" s="30">
        <v>0</v>
      </c>
    </row>
    <row r="333" spans="1:11" ht="15" customHeight="1">
      <c r="A333" s="280"/>
      <c r="B333" s="26" t="s">
        <v>477</v>
      </c>
      <c r="C333" s="27"/>
      <c r="D333" s="30" t="s">
        <v>468</v>
      </c>
      <c r="E333" s="119"/>
      <c r="F333" s="29" t="s">
        <v>454</v>
      </c>
      <c r="G333" s="30" t="s">
        <v>472</v>
      </c>
      <c r="H333" s="169" t="s">
        <v>20</v>
      </c>
      <c r="I333" s="281">
        <v>430</v>
      </c>
      <c r="J333" s="169"/>
      <c r="K333" s="30">
        <f>I333*J333</f>
        <v>0</v>
      </c>
    </row>
    <row r="334" spans="1:11" ht="15" customHeight="1">
      <c r="A334" s="280"/>
      <c r="B334" s="26" t="s">
        <v>478</v>
      </c>
      <c r="C334" s="27"/>
      <c r="D334" s="30" t="s">
        <v>479</v>
      </c>
      <c r="E334" s="119"/>
      <c r="F334" s="29" t="s">
        <v>454</v>
      </c>
      <c r="G334" s="30" t="s">
        <v>445</v>
      </c>
      <c r="H334" s="169" t="s">
        <v>20</v>
      </c>
      <c r="I334" s="281" t="s">
        <v>143</v>
      </c>
      <c r="J334" s="169"/>
      <c r="K334" s="30">
        <v>0</v>
      </c>
    </row>
    <row r="335" spans="1:11" ht="26.25" customHeight="1">
      <c r="A335" s="20"/>
      <c r="B335" s="200" t="str">
        <f>HYPERLINK("http://amare-moscow.ru/catalog/ostalnaya_bakaleya/","Соевые бобы Эдамаме")</f>
        <v>Соевые бобы Эдамаме</v>
      </c>
      <c r="C335" s="22"/>
      <c r="D335" s="23" t="s">
        <v>28</v>
      </c>
      <c r="E335" s="23" t="s">
        <v>29</v>
      </c>
      <c r="F335" s="24" t="s">
        <v>30</v>
      </c>
      <c r="G335" s="23" t="s">
        <v>31</v>
      </c>
      <c r="H335" s="25" t="s">
        <v>32</v>
      </c>
      <c r="I335" s="194"/>
      <c r="J335" s="24" t="s">
        <v>34</v>
      </c>
      <c r="K335" s="23" t="s">
        <v>35</v>
      </c>
    </row>
    <row r="336" spans="1:11" ht="15" customHeight="1">
      <c r="A336" s="5"/>
      <c r="B336" s="282" t="str">
        <f>HYPERLINK("http://amare-moscow.ru/catalog/02_bakaleya/boby_soevye_zelyenye_edamame_v_struchkakh_s_m_don_kreveton_0_5kg_20sht_kitay/","Бобы соевые зелёные Эдамаме в стручках  с/м")</f>
        <v>Бобы соевые зелёные Эдамаме в стручках  с/м</v>
      </c>
      <c r="C336" s="283"/>
      <c r="D336" s="284" t="s">
        <v>480</v>
      </c>
      <c r="E336" s="285" t="s">
        <v>237</v>
      </c>
      <c r="F336" s="286" t="s">
        <v>213</v>
      </c>
      <c r="G336" s="287" t="s">
        <v>244</v>
      </c>
      <c r="H336" s="287" t="s">
        <v>22</v>
      </c>
      <c r="I336" s="288">
        <v>300</v>
      </c>
      <c r="J336" s="287"/>
      <c r="K336" s="287">
        <v>0</v>
      </c>
    </row>
    <row r="337" spans="1:11" ht="15" customHeight="1">
      <c r="A337" s="5"/>
      <c r="B337" s="282" t="str">
        <f t="shared" ref="B337:B339" si="38">HYPERLINK("http://amare-moscow.ru/catalog/02_bakaleya/boby_soevye_zelyenye_edamame_ochishchennye_s_m_don_kreveton_0_5kg_20sht_kitay/","Бобы соевые зелёные Эдамаме очищенные с/м")</f>
        <v>Бобы соевые зелёные Эдамаме очищенные с/м</v>
      </c>
      <c r="C337" s="289"/>
      <c r="D337" s="284" t="s">
        <v>480</v>
      </c>
      <c r="E337" s="285"/>
      <c r="F337" s="286" t="s">
        <v>213</v>
      </c>
      <c r="G337" s="287" t="s">
        <v>244</v>
      </c>
      <c r="H337" s="287" t="s">
        <v>22</v>
      </c>
      <c r="I337" s="288" t="s">
        <v>143</v>
      </c>
      <c r="J337" s="287"/>
      <c r="K337" s="287">
        <v>0</v>
      </c>
    </row>
    <row r="338" spans="1:11" ht="15" customHeight="1">
      <c r="A338" s="5"/>
      <c r="B338" s="282" t="str">
        <f t="shared" si="38"/>
        <v>Бобы соевые зелёные Эдамаме очищенные с/м</v>
      </c>
      <c r="C338" s="289"/>
      <c r="D338" s="284" t="s">
        <v>413</v>
      </c>
      <c r="E338" s="285" t="s">
        <v>481</v>
      </c>
      <c r="F338" s="286" t="s">
        <v>213</v>
      </c>
      <c r="G338" s="287" t="s">
        <v>244</v>
      </c>
      <c r="H338" s="287" t="s">
        <v>22</v>
      </c>
      <c r="I338" s="288">
        <v>360</v>
      </c>
      <c r="J338" s="287"/>
      <c r="K338" s="287">
        <v>0</v>
      </c>
    </row>
    <row r="339" spans="1:11" ht="15" customHeight="1">
      <c r="A339" s="5"/>
      <c r="B339" s="282" t="str">
        <f t="shared" si="38"/>
        <v>Бобы соевые зелёные Эдамаме очищенные с/м</v>
      </c>
      <c r="C339" s="289"/>
      <c r="D339" s="287" t="s">
        <v>116</v>
      </c>
      <c r="E339" s="285"/>
      <c r="F339" s="286" t="s">
        <v>213</v>
      </c>
      <c r="G339" s="287" t="s">
        <v>244</v>
      </c>
      <c r="H339" s="287" t="s">
        <v>22</v>
      </c>
      <c r="I339" s="288">
        <v>315</v>
      </c>
      <c r="J339" s="287"/>
      <c r="K339" s="287">
        <v>0</v>
      </c>
    </row>
    <row r="340" spans="1:11" ht="20.25" customHeight="1">
      <c r="A340" s="461" t="str">
        <f>HYPERLINK("http://www.amare-moscow.ru/catalog/ryba_i_ryboproduktsiya/","Рыба и рыбопродукция")</f>
        <v>Рыба и рыбопродукция</v>
      </c>
      <c r="B340" s="457"/>
      <c r="C340" s="457"/>
      <c r="D340" s="457"/>
      <c r="E340" s="457"/>
      <c r="F340" s="457"/>
      <c r="G340" s="457"/>
      <c r="H340" s="457"/>
      <c r="I340" s="457"/>
      <c r="J340" s="457"/>
      <c r="K340" s="457"/>
    </row>
    <row r="341" spans="1:11">
      <c r="A341" s="211" t="str">
        <f>HYPERLINK("http://www.amare-moscow.ru/catalog/ryba/","Рыба")</f>
        <v>Рыба</v>
      </c>
      <c r="B341" s="194"/>
      <c r="C341" s="194"/>
      <c r="D341" s="194"/>
      <c r="E341" s="194"/>
      <c r="F341" s="194"/>
      <c r="G341" s="194"/>
      <c r="H341" s="194"/>
      <c r="I341" s="194"/>
      <c r="J341" s="194"/>
      <c r="K341" s="194"/>
    </row>
    <row r="342" spans="1:11" ht="26.25" customHeight="1">
      <c r="A342" s="20"/>
      <c r="B342" s="200" t="str">
        <f>HYPERLINK("http://www.amare-moscow.ru/catalog/1_tunets/","Тунец")</f>
        <v>Тунец</v>
      </c>
      <c r="C342" s="22"/>
      <c r="D342" s="23" t="s">
        <v>28</v>
      </c>
      <c r="E342" s="23" t="s">
        <v>29</v>
      </c>
      <c r="F342" s="24" t="s">
        <v>30</v>
      </c>
      <c r="G342" s="23" t="s">
        <v>31</v>
      </c>
      <c r="H342" s="25" t="s">
        <v>32</v>
      </c>
      <c r="I342" s="24" t="s">
        <v>33</v>
      </c>
      <c r="J342" s="24" t="s">
        <v>34</v>
      </c>
      <c r="K342" s="23" t="s">
        <v>35</v>
      </c>
    </row>
    <row r="343" spans="1:11" ht="15" customHeight="1">
      <c r="A343" s="5"/>
      <c r="B343" s="156" t="s">
        <v>482</v>
      </c>
      <c r="C343" s="27"/>
      <c r="D343" s="28" t="s">
        <v>483</v>
      </c>
      <c r="E343" s="12"/>
      <c r="F343" s="29" t="s">
        <v>213</v>
      </c>
      <c r="G343" s="30" t="s">
        <v>214</v>
      </c>
      <c r="H343" s="138" t="s">
        <v>22</v>
      </c>
      <c r="I343" s="138" t="s">
        <v>143</v>
      </c>
      <c r="J343" s="169"/>
      <c r="K343" s="30">
        <v>0</v>
      </c>
    </row>
    <row r="344" spans="1:11" ht="15" customHeight="1">
      <c r="A344" s="5"/>
      <c r="B344" s="84" t="str">
        <f>HYPERLINK("http://www.amare-moscow.ru/catalog/1_tunets/tunets_zhp_file_aa_s_m_0_3_0_5_kg_v_u_10_kg_kitay/","Тунец жп филе саку АА с/м 0,3-0,5 кг  в/у")</f>
        <v>Тунец жп филе саку АА с/м 0,3-0,5 кг  в/у</v>
      </c>
      <c r="C344" s="86"/>
      <c r="D344" s="87" t="s">
        <v>406</v>
      </c>
      <c r="E344" s="85"/>
      <c r="F344" s="193" t="s">
        <v>213</v>
      </c>
      <c r="G344" s="88" t="s">
        <v>214</v>
      </c>
      <c r="H344" s="47" t="s">
        <v>22</v>
      </c>
      <c r="I344" s="13">
        <v>1050</v>
      </c>
      <c r="J344" s="88"/>
      <c r="K344" s="88">
        <v>0</v>
      </c>
    </row>
    <row r="345" spans="1:11" ht="15" customHeight="1">
      <c r="A345" s="5"/>
      <c r="B345" s="216" t="s">
        <v>484</v>
      </c>
      <c r="C345" s="27"/>
      <c r="D345" s="28" t="s">
        <v>406</v>
      </c>
      <c r="E345" s="12"/>
      <c r="F345" s="29" t="s">
        <v>213</v>
      </c>
      <c r="G345" s="30" t="s">
        <v>214</v>
      </c>
      <c r="H345" s="13" t="s">
        <v>22</v>
      </c>
      <c r="I345" s="13">
        <v>990</v>
      </c>
      <c r="J345" s="30"/>
      <c r="K345" s="30">
        <v>0</v>
      </c>
    </row>
    <row r="346" spans="1:11" ht="15" customHeight="1">
      <c r="A346" s="5"/>
      <c r="B346" s="26" t="s">
        <v>485</v>
      </c>
      <c r="C346" s="27"/>
      <c r="D346" s="28" t="s">
        <v>460</v>
      </c>
      <c r="E346" s="12"/>
      <c r="F346" s="29" t="s">
        <v>213</v>
      </c>
      <c r="G346" s="30" t="s">
        <v>214</v>
      </c>
      <c r="H346" s="13" t="s">
        <v>22</v>
      </c>
      <c r="I346" s="47">
        <v>690</v>
      </c>
      <c r="J346" s="30"/>
      <c r="K346" s="30">
        <v>0</v>
      </c>
    </row>
    <row r="347" spans="1:11" ht="15" customHeight="1">
      <c r="A347" s="5"/>
      <c r="B347" s="26" t="s">
        <v>486</v>
      </c>
      <c r="C347" s="27"/>
      <c r="D347" s="28"/>
      <c r="E347" s="12"/>
      <c r="F347" s="29" t="s">
        <v>213</v>
      </c>
      <c r="G347" s="30" t="s">
        <v>214</v>
      </c>
      <c r="H347" s="13" t="s">
        <v>22</v>
      </c>
      <c r="I347" s="47">
        <v>450</v>
      </c>
      <c r="J347" s="30"/>
      <c r="K347" s="30">
        <f>J347*I347</f>
        <v>0</v>
      </c>
    </row>
    <row r="348" spans="1:11" ht="15" customHeight="1">
      <c r="A348" s="5"/>
      <c r="B348" s="156" t="s">
        <v>487</v>
      </c>
      <c r="C348" s="27"/>
      <c r="D348" s="28" t="s">
        <v>116</v>
      </c>
      <c r="E348" s="12"/>
      <c r="F348" s="29" t="s">
        <v>213</v>
      </c>
      <c r="G348" s="30" t="s">
        <v>214</v>
      </c>
      <c r="H348" s="13" t="s">
        <v>22</v>
      </c>
      <c r="I348" s="13" t="s">
        <v>143</v>
      </c>
      <c r="J348" s="30"/>
      <c r="K348" s="30">
        <v>0</v>
      </c>
    </row>
    <row r="349" spans="1:11" ht="15" customHeight="1">
      <c r="A349" s="5"/>
      <c r="B349" s="156" t="s">
        <v>488</v>
      </c>
      <c r="C349" s="27"/>
      <c r="D349" s="28" t="s">
        <v>413</v>
      </c>
      <c r="E349" s="12"/>
      <c r="F349" s="29" t="s">
        <v>213</v>
      </c>
      <c r="G349" s="30" t="s">
        <v>214</v>
      </c>
      <c r="H349" s="13" t="s">
        <v>22</v>
      </c>
      <c r="I349" s="13">
        <v>710</v>
      </c>
      <c r="J349" s="30"/>
      <c r="K349" s="30">
        <v>0</v>
      </c>
    </row>
    <row r="350" spans="1:11" ht="15" customHeight="1">
      <c r="A350" s="5"/>
      <c r="B350" s="176" t="s">
        <v>489</v>
      </c>
      <c r="C350" s="7"/>
      <c r="D350" s="67" t="s">
        <v>339</v>
      </c>
      <c r="E350" s="12"/>
      <c r="F350" s="10" t="s">
        <v>213</v>
      </c>
      <c r="G350" s="11" t="s">
        <v>341</v>
      </c>
      <c r="H350" s="13" t="s">
        <v>22</v>
      </c>
      <c r="I350" s="13" t="s">
        <v>143</v>
      </c>
      <c r="J350" s="11"/>
      <c r="K350" s="11">
        <v>0</v>
      </c>
    </row>
    <row r="351" spans="1:11" ht="15" customHeight="1">
      <c r="A351" s="5"/>
      <c r="B351" s="160" t="s">
        <v>289</v>
      </c>
      <c r="C351" s="164"/>
      <c r="D351" s="160" t="s">
        <v>290</v>
      </c>
      <c r="E351" s="135" t="s">
        <v>291</v>
      </c>
      <c r="F351" s="60" t="s">
        <v>39</v>
      </c>
      <c r="G351" s="60" t="s">
        <v>19</v>
      </c>
      <c r="H351" s="166" t="s">
        <v>22</v>
      </c>
      <c r="I351" s="185">
        <v>665</v>
      </c>
      <c r="J351" s="164"/>
      <c r="K351" s="60">
        <f>I351*J351</f>
        <v>0</v>
      </c>
    </row>
    <row r="352" spans="1:11" ht="26.25" customHeight="1">
      <c r="A352" s="20"/>
      <c r="B352" s="200" t="str">
        <f>HYPERLINK("http://www.amare-moscow.ru/catalog/2_losos/","Лосось")</f>
        <v>Лосось</v>
      </c>
      <c r="C352" s="22"/>
      <c r="D352" s="23" t="s">
        <v>28</v>
      </c>
      <c r="E352" s="23" t="s">
        <v>29</v>
      </c>
      <c r="F352" s="24" t="s">
        <v>30</v>
      </c>
      <c r="G352" s="23" t="s">
        <v>31</v>
      </c>
      <c r="H352" s="25" t="s">
        <v>32</v>
      </c>
      <c r="I352" s="24" t="s">
        <v>33</v>
      </c>
      <c r="J352" s="24" t="s">
        <v>34</v>
      </c>
      <c r="K352" s="23" t="s">
        <v>35</v>
      </c>
    </row>
    <row r="353" spans="1:11" ht="15" customHeight="1">
      <c r="A353" s="5"/>
      <c r="B353" s="150" t="str">
        <f>HYPERLINK("http://www.amare-moscow.ru/catalog/2_losos/losos_psg_s_m_4_5_kg_premium_30_kg_chili/","Лосось ПСГ  с/м 4-5 кг   Премиум")</f>
        <v>Лосось ПСГ  с/м 4-5 кг   Премиум</v>
      </c>
      <c r="C353" s="27"/>
      <c r="D353" s="28" t="s">
        <v>490</v>
      </c>
      <c r="E353" s="12"/>
      <c r="F353" s="29" t="s">
        <v>213</v>
      </c>
      <c r="G353" s="30" t="s">
        <v>491</v>
      </c>
      <c r="H353" s="13" t="s">
        <v>22</v>
      </c>
      <c r="I353" s="13" t="s">
        <v>143</v>
      </c>
      <c r="J353" s="30"/>
      <c r="K353" s="30">
        <v>0</v>
      </c>
    </row>
    <row r="354" spans="1:11" ht="26.25" customHeight="1">
      <c r="A354" s="20"/>
      <c r="B354" s="200" t="str">
        <f>HYPERLINK("http://www.amare-moscow.ru/catalog/4_sibas_dorada_rechnaya_forel/","Сибас, Дорада, Речная форель")</f>
        <v>Сибас, Дорада, Речная форель</v>
      </c>
      <c r="C354" s="22"/>
      <c r="D354" s="23" t="s">
        <v>28</v>
      </c>
      <c r="E354" s="23" t="s">
        <v>29</v>
      </c>
      <c r="F354" s="24" t="s">
        <v>30</v>
      </c>
      <c r="G354" s="23" t="s">
        <v>31</v>
      </c>
      <c r="H354" s="25" t="s">
        <v>32</v>
      </c>
      <c r="I354" s="24" t="s">
        <v>33</v>
      </c>
      <c r="J354" s="24" t="s">
        <v>34</v>
      </c>
      <c r="K354" s="23" t="s">
        <v>35</v>
      </c>
    </row>
    <row r="355" spans="1:11" ht="15" customHeight="1">
      <c r="A355" s="5"/>
      <c r="B355" s="259" t="str">
        <f>HYPERLINK("http://www.amare-moscow.ru/catalog/4_sibas_dorada_rechnaya_forel/dorada_n_r_s_m_0_3_0_4_kg_5_kg_turtsiya/","Дорада н/р с/м 0,3-0,4 кг ")</f>
        <v xml:space="preserve">Дорада н/р с/м 0,3-0,4 кг </v>
      </c>
      <c r="C355" s="260"/>
      <c r="D355" s="232" t="s">
        <v>492</v>
      </c>
      <c r="E355" s="85"/>
      <c r="F355" s="233" t="s">
        <v>213</v>
      </c>
      <c r="G355" s="88" t="s">
        <v>493</v>
      </c>
      <c r="H355" s="47" t="s">
        <v>22</v>
      </c>
      <c r="I355" s="47">
        <v>400</v>
      </c>
      <c r="J355" s="30"/>
      <c r="K355" s="30">
        <v>0</v>
      </c>
    </row>
    <row r="356" spans="1:11" ht="15" customHeight="1">
      <c r="A356" s="5"/>
      <c r="B356" s="156" t="s">
        <v>494</v>
      </c>
      <c r="C356" s="27"/>
      <c r="D356" s="28" t="s">
        <v>61</v>
      </c>
      <c r="E356" s="12"/>
      <c r="F356" s="29" t="s">
        <v>213</v>
      </c>
      <c r="G356" s="11" t="s">
        <v>495</v>
      </c>
      <c r="H356" s="11" t="s">
        <v>495</v>
      </c>
      <c r="I356" s="13">
        <v>560</v>
      </c>
      <c r="J356" s="30"/>
      <c r="K356" s="30">
        <v>0</v>
      </c>
    </row>
    <row r="357" spans="1:11" ht="15" customHeight="1">
      <c r="A357" s="5"/>
      <c r="B357" s="259" t="str">
        <f>HYPERLINK("http://www.amare-moscow.ru/catalog/4_sibas_dorada_rechnaya_forel/sibas_s_m_0_3_0_4_kg_10_kg_turtsiya/","Сибас н/р  с/м 0,3-0,4 кг ")</f>
        <v xml:space="preserve">Сибас н/р  с/м 0,3-0,4 кг </v>
      </c>
      <c r="C357" s="260"/>
      <c r="D357" s="232" t="s">
        <v>492</v>
      </c>
      <c r="E357" s="85"/>
      <c r="F357" s="233" t="s">
        <v>213</v>
      </c>
      <c r="G357" s="88" t="s">
        <v>496</v>
      </c>
      <c r="H357" s="47" t="s">
        <v>22</v>
      </c>
      <c r="I357" s="47">
        <v>430</v>
      </c>
      <c r="J357" s="30"/>
      <c r="K357" s="30">
        <v>0</v>
      </c>
    </row>
    <row r="358" spans="1:11" ht="15" customHeight="1">
      <c r="A358" s="5"/>
      <c r="B358" s="255" t="s">
        <v>497</v>
      </c>
      <c r="C358" s="86"/>
      <c r="D358" s="87" t="s">
        <v>492</v>
      </c>
      <c r="E358" s="85"/>
      <c r="F358" s="193" t="s">
        <v>213</v>
      </c>
      <c r="G358" s="88" t="s">
        <v>493</v>
      </c>
      <c r="H358" s="47" t="s">
        <v>22</v>
      </c>
      <c r="I358" s="47" t="s">
        <v>143</v>
      </c>
      <c r="J358" s="11"/>
      <c r="K358" s="11">
        <v>0</v>
      </c>
    </row>
    <row r="359" spans="1:11" ht="15" customHeight="1">
      <c r="A359" s="5"/>
      <c r="B359" s="176" t="s">
        <v>498</v>
      </c>
      <c r="C359" s="7"/>
      <c r="D359" s="67" t="s">
        <v>406</v>
      </c>
      <c r="E359" s="12"/>
      <c r="F359" s="10" t="s">
        <v>213</v>
      </c>
      <c r="G359" s="11" t="s">
        <v>493</v>
      </c>
      <c r="H359" s="13" t="s">
        <v>22</v>
      </c>
      <c r="I359" s="47" t="s">
        <v>143</v>
      </c>
      <c r="J359" s="11"/>
      <c r="K359" s="11">
        <v>0</v>
      </c>
    </row>
    <row r="360" spans="1:11" ht="26.25" customHeight="1">
      <c r="A360" s="20"/>
      <c r="B360" s="200" t="str">
        <f>HYPERLINK("http://www.amare-moscow.ru/catalog/5_ostalnaya_ryba/","Остальная рыба")</f>
        <v>Остальная рыба</v>
      </c>
      <c r="C360" s="22"/>
      <c r="D360" s="23" t="s">
        <v>28</v>
      </c>
      <c r="E360" s="23" t="s">
        <v>29</v>
      </c>
      <c r="F360" s="24" t="s">
        <v>30</v>
      </c>
      <c r="G360" s="23" t="s">
        <v>31</v>
      </c>
      <c r="H360" s="25" t="s">
        <v>32</v>
      </c>
      <c r="I360" s="24" t="s">
        <v>33</v>
      </c>
      <c r="J360" s="24" t="s">
        <v>34</v>
      </c>
      <c r="K360" s="23" t="s">
        <v>35</v>
      </c>
    </row>
    <row r="361" spans="1:11" ht="21" customHeight="1">
      <c r="A361" s="5"/>
      <c r="B361" s="290" t="s">
        <v>499</v>
      </c>
      <c r="C361" s="7"/>
      <c r="D361" s="67" t="s">
        <v>500</v>
      </c>
      <c r="E361" s="12"/>
      <c r="F361" s="29" t="s">
        <v>213</v>
      </c>
      <c r="G361" s="30" t="s">
        <v>305</v>
      </c>
      <c r="H361" s="138" t="s">
        <v>22</v>
      </c>
      <c r="I361" s="190" t="s">
        <v>143</v>
      </c>
      <c r="J361" s="169"/>
      <c r="K361" s="30">
        <v>0</v>
      </c>
    </row>
    <row r="362" spans="1:11" ht="15" customHeight="1">
      <c r="A362" s="5"/>
      <c r="B362" s="176" t="s">
        <v>501</v>
      </c>
      <c r="C362" s="7"/>
      <c r="D362" s="67" t="s">
        <v>116</v>
      </c>
      <c r="E362" s="12"/>
      <c r="F362" s="10" t="s">
        <v>213</v>
      </c>
      <c r="G362" s="11" t="s">
        <v>305</v>
      </c>
      <c r="H362" s="13" t="s">
        <v>22</v>
      </c>
      <c r="I362" s="138">
        <v>400</v>
      </c>
      <c r="J362" s="91"/>
      <c r="K362" s="11">
        <v>0</v>
      </c>
    </row>
    <row r="363" spans="1:11" ht="15" customHeight="1">
      <c r="A363" s="5"/>
      <c r="B363" s="176" t="s">
        <v>502</v>
      </c>
      <c r="C363" s="7"/>
      <c r="D363" s="67" t="s">
        <v>460</v>
      </c>
      <c r="E363" s="12" t="s">
        <v>503</v>
      </c>
      <c r="F363" s="10" t="s">
        <v>213</v>
      </c>
      <c r="G363" s="11" t="s">
        <v>305</v>
      </c>
      <c r="H363" s="13" t="s">
        <v>22</v>
      </c>
      <c r="I363" s="190">
        <v>195</v>
      </c>
      <c r="J363" s="91"/>
      <c r="K363" s="11">
        <v>0</v>
      </c>
    </row>
    <row r="364" spans="1:11" ht="15" customHeight="1">
      <c r="A364" s="5"/>
      <c r="B364" s="176" t="s">
        <v>504</v>
      </c>
      <c r="C364" s="7"/>
      <c r="D364" s="67" t="s">
        <v>505</v>
      </c>
      <c r="E364" s="12"/>
      <c r="F364" s="10"/>
      <c r="G364" s="11" t="s">
        <v>305</v>
      </c>
      <c r="H364" s="138" t="s">
        <v>22</v>
      </c>
      <c r="I364" s="190">
        <v>875</v>
      </c>
      <c r="J364" s="91"/>
      <c r="K364" s="11">
        <f>I364*J364</f>
        <v>0</v>
      </c>
    </row>
    <row r="365" spans="1:11" ht="26.25" customHeight="1">
      <c r="A365" s="291"/>
      <c r="B365" s="292" t="str">
        <f>HYPERLINK("http://www.amare-moscow.ru/catalog/file_ryby_/","Филе рыбное")</f>
        <v>Филе рыбное</v>
      </c>
      <c r="C365" s="293"/>
      <c r="D365" s="23" t="s">
        <v>28</v>
      </c>
      <c r="E365" s="23" t="s">
        <v>29</v>
      </c>
      <c r="F365" s="24" t="s">
        <v>30</v>
      </c>
      <c r="G365" s="23" t="s">
        <v>31</v>
      </c>
      <c r="H365" s="25" t="s">
        <v>32</v>
      </c>
      <c r="I365" s="24" t="s">
        <v>33</v>
      </c>
      <c r="J365" s="24" t="s">
        <v>34</v>
      </c>
      <c r="K365" s="23" t="s">
        <v>35</v>
      </c>
    </row>
    <row r="366" spans="1:11" ht="26.25" customHeight="1">
      <c r="A366" s="294"/>
      <c r="B366" s="295" t="s">
        <v>506</v>
      </c>
      <c r="C366" s="296"/>
      <c r="D366" s="297" t="s">
        <v>507</v>
      </c>
      <c r="E366" s="298"/>
      <c r="F366" s="299" t="s">
        <v>71</v>
      </c>
      <c r="G366" s="300" t="s">
        <v>19</v>
      </c>
      <c r="H366" s="301" t="s">
        <v>22</v>
      </c>
      <c r="I366" s="302" t="s">
        <v>143</v>
      </c>
      <c r="J366" s="299"/>
      <c r="K366" s="298">
        <v>0</v>
      </c>
    </row>
    <row r="367" spans="1:11" ht="26.25" customHeight="1">
      <c r="A367" s="303"/>
      <c r="B367" s="304" t="s">
        <v>508</v>
      </c>
      <c r="C367" s="305"/>
      <c r="D367" s="306" t="s">
        <v>507</v>
      </c>
      <c r="E367" s="307"/>
      <c r="F367" s="308" t="s">
        <v>71</v>
      </c>
      <c r="G367" s="309" t="s">
        <v>19</v>
      </c>
      <c r="H367" s="310" t="s">
        <v>22</v>
      </c>
      <c r="I367" s="311">
        <v>400</v>
      </c>
      <c r="J367" s="312"/>
      <c r="K367" s="313">
        <f>I367*J367</f>
        <v>0</v>
      </c>
    </row>
    <row r="368" spans="1:11" ht="26.25" customHeight="1">
      <c r="A368" s="294"/>
      <c r="B368" s="170" t="s">
        <v>258</v>
      </c>
      <c r="C368" s="106"/>
      <c r="D368" s="314" t="s">
        <v>259</v>
      </c>
      <c r="E368" s="315"/>
      <c r="F368" s="91" t="s">
        <v>71</v>
      </c>
      <c r="G368" s="11" t="s">
        <v>19</v>
      </c>
      <c r="H368" s="105" t="s">
        <v>22</v>
      </c>
      <c r="I368" s="105" t="s">
        <v>143</v>
      </c>
      <c r="J368" s="106"/>
      <c r="K368" s="11">
        <v>0</v>
      </c>
    </row>
    <row r="369" spans="1:11" ht="26.25" customHeight="1">
      <c r="A369" s="294"/>
      <c r="B369" s="170" t="s">
        <v>260</v>
      </c>
      <c r="C369" s="106"/>
      <c r="D369" s="314" t="s">
        <v>259</v>
      </c>
      <c r="E369" s="11"/>
      <c r="F369" s="91" t="s">
        <v>71</v>
      </c>
      <c r="G369" s="11" t="s">
        <v>19</v>
      </c>
      <c r="H369" s="105" t="s">
        <v>22</v>
      </c>
      <c r="I369" s="105">
        <v>800</v>
      </c>
      <c r="J369" s="106"/>
      <c r="K369" s="11">
        <f>I369*J369</f>
        <v>0</v>
      </c>
    </row>
    <row r="370" spans="1:11" ht="15" customHeight="1">
      <c r="A370" s="5"/>
      <c r="B370" s="150" t="str">
        <f>HYPERLINK("http://www.amare-moscow.ru/catalog/file_ryby_/losos_file_trim_s_s_m_v_u_don_kreveton_ves_rossiya/","Лосось филе трим С с/м в/у")</f>
        <v>Лосось филе трим С с/м в/у</v>
      </c>
      <c r="C370" s="27"/>
      <c r="D370" s="30" t="s">
        <v>509</v>
      </c>
      <c r="E370" s="12" t="s">
        <v>510</v>
      </c>
      <c r="F370" s="29" t="s">
        <v>71</v>
      </c>
      <c r="G370" s="30" t="s">
        <v>19</v>
      </c>
      <c r="H370" s="13" t="s">
        <v>22</v>
      </c>
      <c r="I370" s="174">
        <v>1280</v>
      </c>
      <c r="J370" s="30"/>
      <c r="K370" s="30">
        <v>0</v>
      </c>
    </row>
    <row r="371" spans="1:11" ht="15" customHeight="1">
      <c r="A371" s="5"/>
      <c r="B371" s="316" t="s">
        <v>264</v>
      </c>
      <c r="C371" s="27"/>
      <c r="D371" s="317" t="s">
        <v>265</v>
      </c>
      <c r="E371" s="12"/>
      <c r="F371" s="29" t="s">
        <v>71</v>
      </c>
      <c r="G371" s="30" t="s">
        <v>19</v>
      </c>
      <c r="H371" s="13" t="s">
        <v>22</v>
      </c>
      <c r="I371" s="174">
        <v>1700</v>
      </c>
      <c r="J371" s="151"/>
      <c r="K371" s="30">
        <v>0</v>
      </c>
    </row>
    <row r="372" spans="1:11" ht="15" customHeight="1">
      <c r="A372" s="5"/>
      <c r="B372" s="290" t="s">
        <v>266</v>
      </c>
      <c r="C372" s="14"/>
      <c r="D372" s="318" t="s">
        <v>267</v>
      </c>
      <c r="E372" s="12"/>
      <c r="F372" s="10" t="s">
        <v>71</v>
      </c>
      <c r="G372" s="11" t="s">
        <v>19</v>
      </c>
      <c r="H372" s="13" t="s">
        <v>22</v>
      </c>
      <c r="I372" s="174">
        <v>2100</v>
      </c>
      <c r="J372" s="177"/>
      <c r="K372" s="11">
        <v>0</v>
      </c>
    </row>
    <row r="373" spans="1:11" ht="15" customHeight="1">
      <c r="A373" s="5"/>
      <c r="B373" s="161" t="s">
        <v>511</v>
      </c>
      <c r="C373" s="56"/>
      <c r="D373" s="57" t="s">
        <v>26</v>
      </c>
      <c r="E373" s="135"/>
      <c r="F373" s="59" t="s">
        <v>39</v>
      </c>
      <c r="G373" s="309" t="s">
        <v>19</v>
      </c>
      <c r="H373" s="136" t="s">
        <v>22</v>
      </c>
      <c r="I373" s="240">
        <v>420</v>
      </c>
      <c r="J373" s="60"/>
      <c r="K373" s="60">
        <v>0</v>
      </c>
    </row>
    <row r="374" spans="1:11" ht="15" customHeight="1">
      <c r="A374" s="5"/>
      <c r="B374" s="160" t="s">
        <v>512</v>
      </c>
      <c r="C374" s="56"/>
      <c r="D374" s="57" t="s">
        <v>116</v>
      </c>
      <c r="E374" s="135"/>
      <c r="F374" s="59"/>
      <c r="G374" s="319" t="s">
        <v>19</v>
      </c>
      <c r="H374" s="136"/>
      <c r="I374" s="240">
        <v>455</v>
      </c>
      <c r="J374" s="60"/>
      <c r="K374" s="60">
        <f>I374*J374</f>
        <v>0</v>
      </c>
    </row>
    <row r="375" spans="1:11" ht="15" customHeight="1">
      <c r="A375" s="5"/>
      <c r="B375" s="150" t="str">
        <f>HYPERLINK("http://www.amare-moscow.ru/catalog/file_ryby_/paltus_file_b_k_s_m_400_gr_don_kreveton_5_kg_rossiya/","Палтус филе б/к с/м 400 гр + ")</f>
        <v xml:space="preserve">Палтус филе б/к с/м 400 гр + </v>
      </c>
      <c r="C375" s="27"/>
      <c r="D375" s="28" t="s">
        <v>61</v>
      </c>
      <c r="E375" s="12"/>
      <c r="F375" s="29" t="s">
        <v>71</v>
      </c>
      <c r="G375" s="30" t="s">
        <v>19</v>
      </c>
      <c r="H375" s="13" t="s">
        <v>22</v>
      </c>
      <c r="I375" s="13">
        <v>990</v>
      </c>
      <c r="J375" s="30"/>
      <c r="K375" s="30">
        <v>0</v>
      </c>
    </row>
    <row r="376" spans="1:11" ht="15" customHeight="1">
      <c r="A376" s="5"/>
      <c r="B376" s="156" t="s">
        <v>513</v>
      </c>
      <c r="C376" s="27"/>
      <c r="D376" s="28" t="s">
        <v>61</v>
      </c>
      <c r="E376" s="12"/>
      <c r="F376" s="29" t="s">
        <v>71</v>
      </c>
      <c r="G376" s="30" t="s">
        <v>19</v>
      </c>
      <c r="H376" s="13" t="s">
        <v>22</v>
      </c>
      <c r="I376" s="13">
        <v>970</v>
      </c>
      <c r="J376" s="30"/>
      <c r="K376" s="30">
        <v>0</v>
      </c>
    </row>
    <row r="377" spans="1:11" ht="15" customHeight="1">
      <c r="A377" s="5"/>
      <c r="B377" s="150" t="str">
        <f>HYPERLINK("http://amare-moscow.ru/catalog/file_ryby_/seld_file_s_m_6_10_sht_v_kg_3_7_5_kg_rossiya/","Сельдь филе с/м 6/10 шт")</f>
        <v>Сельдь филе с/м 6/10 шт</v>
      </c>
      <c r="C377" s="27"/>
      <c r="D377" s="28" t="s">
        <v>514</v>
      </c>
      <c r="E377" s="12" t="s">
        <v>515</v>
      </c>
      <c r="F377" s="29" t="s">
        <v>39</v>
      </c>
      <c r="G377" s="30" t="s">
        <v>516</v>
      </c>
      <c r="H377" s="13" t="s">
        <v>22</v>
      </c>
      <c r="I377" s="13">
        <v>165</v>
      </c>
      <c r="J377" s="30"/>
      <c r="K377" s="30">
        <f t="shared" ref="K377:K378" si="39">I377*J377</f>
        <v>0</v>
      </c>
    </row>
    <row r="378" spans="1:11" ht="15" customHeight="1">
      <c r="A378" s="5"/>
      <c r="B378" s="150" t="str">
        <f>HYPERLINK("http://amare-moscow.ru/catalog/file_ryby_/sudak_file_n_k_s_m_400_gr_10_kg_rossiya/","Судак филе н/к с/м  в/у ")</f>
        <v xml:space="preserve">Судак филе н/к с/м  в/у </v>
      </c>
      <c r="C378" s="27"/>
      <c r="D378" s="28" t="s">
        <v>517</v>
      </c>
      <c r="E378" s="12"/>
      <c r="F378" s="29"/>
      <c r="G378" s="30" t="s">
        <v>19</v>
      </c>
      <c r="H378" s="13" t="s">
        <v>22</v>
      </c>
      <c r="I378" s="47">
        <v>610</v>
      </c>
      <c r="J378" s="30"/>
      <c r="K378" s="30">
        <f t="shared" si="39"/>
        <v>0</v>
      </c>
    </row>
    <row r="379" spans="1:11" ht="15" customHeight="1">
      <c r="A379" s="5"/>
      <c r="B379" s="150" t="str">
        <f>HYPERLINK("http://amare-moscow.ru/catalog/file_ryby_/sudak_file_n_k_s_m_400_gr_10_kg_rossiya/","Судак филе н/к с/м 400 гр + ")</f>
        <v xml:space="preserve">Судак филе н/к с/м 400 гр + </v>
      </c>
      <c r="C379" s="27"/>
      <c r="D379" s="28" t="s">
        <v>116</v>
      </c>
      <c r="E379" s="12"/>
      <c r="F379" s="29" t="s">
        <v>39</v>
      </c>
      <c r="G379" s="30" t="s">
        <v>516</v>
      </c>
      <c r="H379" s="13" t="s">
        <v>22</v>
      </c>
      <c r="I379" s="47">
        <v>490</v>
      </c>
      <c r="J379" s="30"/>
      <c r="K379" s="30">
        <v>0</v>
      </c>
    </row>
    <row r="380" spans="1:11" ht="15" customHeight="1">
      <c r="A380" s="5"/>
      <c r="B380" s="182" t="s">
        <v>285</v>
      </c>
      <c r="C380" s="27"/>
      <c r="D380" s="28" t="s">
        <v>286</v>
      </c>
      <c r="E380" s="12"/>
      <c r="F380" s="29" t="s">
        <v>39</v>
      </c>
      <c r="G380" s="30" t="s">
        <v>244</v>
      </c>
      <c r="H380" s="13" t="s">
        <v>22</v>
      </c>
      <c r="I380" s="47">
        <v>520</v>
      </c>
      <c r="J380" s="30"/>
      <c r="K380" s="30">
        <v>0</v>
      </c>
    </row>
    <row r="381" spans="1:11" ht="15" customHeight="1">
      <c r="A381" s="5"/>
      <c r="B381" s="150" t="str">
        <f>HYPERLINK("http://www.amare-moscow.ru/catalog/file_ryby_/treska_file_b_k_s_m_10_kg_rossiya/","Треска филе б/к с/м")</f>
        <v>Треска филе б/к с/м</v>
      </c>
      <c r="C381" s="27"/>
      <c r="D381" s="28" t="s">
        <v>116</v>
      </c>
      <c r="E381" s="12"/>
      <c r="F381" s="29" t="s">
        <v>39</v>
      </c>
      <c r="G381" s="30" t="s">
        <v>516</v>
      </c>
      <c r="H381" s="13" t="s">
        <v>22</v>
      </c>
      <c r="I381" s="47">
        <v>435</v>
      </c>
      <c r="J381" s="30"/>
      <c r="K381" s="30">
        <v>0</v>
      </c>
    </row>
    <row r="382" spans="1:11" ht="15" customHeight="1">
      <c r="A382" s="5"/>
      <c r="B382" s="150" t="str">
        <f>HYPERLINK("http://www.amare-moscow.ru/catalog/file_ryby_/treska_file_n_k_s_m_10_kg_rossiya/","Треска филе н/к с/м ")</f>
        <v xml:space="preserve">Треска филе н/к с/м </v>
      </c>
      <c r="C382" s="27"/>
      <c r="D382" s="28" t="s">
        <v>116</v>
      </c>
      <c r="E382" s="12"/>
      <c r="F382" s="29" t="s">
        <v>39</v>
      </c>
      <c r="G382" s="30" t="s">
        <v>516</v>
      </c>
      <c r="H382" s="13" t="s">
        <v>22</v>
      </c>
      <c r="I382" s="13" t="s">
        <v>143</v>
      </c>
      <c r="J382" s="30"/>
      <c r="K382" s="30">
        <v>0</v>
      </c>
    </row>
    <row r="383" spans="1:11" ht="15" customHeight="1">
      <c r="A383" s="5"/>
      <c r="B383" s="156" t="s">
        <v>518</v>
      </c>
      <c r="C383" s="27"/>
      <c r="D383" s="28" t="s">
        <v>519</v>
      </c>
      <c r="E383" s="12"/>
      <c r="F383" s="29" t="s">
        <v>39</v>
      </c>
      <c r="G383" s="30" t="s">
        <v>19</v>
      </c>
      <c r="H383" s="13" t="s">
        <v>22</v>
      </c>
      <c r="I383" s="13">
        <v>480</v>
      </c>
      <c r="J383" s="30"/>
      <c r="K383" s="30">
        <f>I383*J383</f>
        <v>0</v>
      </c>
    </row>
    <row r="384" spans="1:11" ht="27.75" customHeight="1">
      <c r="A384" s="5"/>
      <c r="B384" s="176" t="s">
        <v>520</v>
      </c>
      <c r="C384" s="7"/>
      <c r="D384" s="67" t="s">
        <v>116</v>
      </c>
      <c r="E384" s="320"/>
      <c r="F384" s="10" t="s">
        <v>39</v>
      </c>
      <c r="G384" s="30" t="s">
        <v>516</v>
      </c>
      <c r="H384" s="13" t="s">
        <v>22</v>
      </c>
      <c r="I384" s="13" t="s">
        <v>143</v>
      </c>
      <c r="J384" s="11"/>
      <c r="K384" s="30">
        <v>0</v>
      </c>
    </row>
    <row r="385" spans="1:11" ht="27.75" customHeight="1">
      <c r="A385" s="5"/>
      <c r="B385" s="170" t="str">
        <f>HYPERLINK("http://www.amare-moscow.ru/catalog/ryba_i_ryboproduktsiya/shchuka_file_b_k_s_m_3_10_kg_rossiya/","Щука филе б/к с/м")</f>
        <v>Щука филе б/к с/м</v>
      </c>
      <c r="C385" s="7"/>
      <c r="D385" s="67" t="s">
        <v>406</v>
      </c>
      <c r="E385" s="320" t="s">
        <v>503</v>
      </c>
      <c r="F385" s="10" t="s">
        <v>39</v>
      </c>
      <c r="G385" s="11" t="s">
        <v>19</v>
      </c>
      <c r="H385" s="13" t="s">
        <v>22</v>
      </c>
      <c r="I385" s="13" t="s">
        <v>143</v>
      </c>
      <c r="J385" s="11"/>
      <c r="K385" s="11">
        <v>0</v>
      </c>
    </row>
    <row r="386" spans="1:11" ht="27.75" customHeight="1">
      <c r="A386" s="5"/>
      <c r="B386" s="321" t="s">
        <v>521</v>
      </c>
      <c r="C386" s="7"/>
      <c r="D386" s="67" t="s">
        <v>522</v>
      </c>
      <c r="E386" s="320"/>
      <c r="F386" s="10"/>
      <c r="G386" s="11" t="s">
        <v>19</v>
      </c>
      <c r="H386" s="138" t="s">
        <v>22</v>
      </c>
      <c r="I386" s="138">
        <v>370</v>
      </c>
      <c r="J386" s="91"/>
      <c r="K386" s="11">
        <f>I386*J386</f>
        <v>0</v>
      </c>
    </row>
    <row r="387" spans="1:11" ht="26.25" customHeight="1">
      <c r="A387" s="20"/>
      <c r="B387" s="218" t="s">
        <v>523</v>
      </c>
      <c r="C387" s="22"/>
      <c r="D387" s="23" t="s">
        <v>28</v>
      </c>
      <c r="E387" s="23" t="s">
        <v>29</v>
      </c>
      <c r="F387" s="24" t="s">
        <v>30</v>
      </c>
      <c r="G387" s="23" t="s">
        <v>31</v>
      </c>
      <c r="H387" s="25" t="s">
        <v>32</v>
      </c>
      <c r="I387" s="24" t="s">
        <v>33</v>
      </c>
      <c r="J387" s="24" t="s">
        <v>34</v>
      </c>
      <c r="K387" s="322" t="s">
        <v>35</v>
      </c>
    </row>
    <row r="388" spans="1:11" ht="15" customHeight="1">
      <c r="A388" s="5"/>
      <c r="B388" s="254" t="s">
        <v>524</v>
      </c>
      <c r="C388" s="7"/>
      <c r="D388" s="11" t="s">
        <v>525</v>
      </c>
      <c r="E388" s="12"/>
      <c r="F388" s="10" t="s">
        <v>526</v>
      </c>
      <c r="G388" s="11" t="s">
        <v>19</v>
      </c>
      <c r="H388" s="138" t="s">
        <v>22</v>
      </c>
      <c r="I388" s="190">
        <v>480</v>
      </c>
      <c r="J388" s="91"/>
      <c r="K388" s="11">
        <v>0</v>
      </c>
    </row>
    <row r="389" spans="1:11" ht="15" customHeight="1">
      <c r="A389" s="5"/>
      <c r="B389" s="114" t="s">
        <v>527</v>
      </c>
      <c r="C389" s="7"/>
      <c r="D389" s="11" t="s">
        <v>525</v>
      </c>
      <c r="E389" s="12"/>
      <c r="F389" s="10" t="s">
        <v>526</v>
      </c>
      <c r="G389" s="11" t="s">
        <v>19</v>
      </c>
      <c r="H389" s="138" t="s">
        <v>22</v>
      </c>
      <c r="I389" s="138">
        <v>490</v>
      </c>
      <c r="J389" s="91"/>
      <c r="K389" s="11">
        <v>0</v>
      </c>
    </row>
    <row r="390" spans="1:11" ht="15" customHeight="1">
      <c r="A390" s="5"/>
      <c r="B390" s="323" t="s">
        <v>528</v>
      </c>
      <c r="C390" s="27"/>
      <c r="D390" s="30" t="s">
        <v>525</v>
      </c>
      <c r="E390" s="12"/>
      <c r="F390" s="29" t="s">
        <v>526</v>
      </c>
      <c r="G390" s="30" t="s">
        <v>19</v>
      </c>
      <c r="H390" s="13" t="s">
        <v>22</v>
      </c>
      <c r="I390" s="138">
        <v>1170</v>
      </c>
      <c r="J390" s="169"/>
      <c r="K390" s="30">
        <v>0</v>
      </c>
    </row>
    <row r="391" spans="1:11" ht="15" customHeight="1">
      <c r="A391" s="5"/>
      <c r="B391" s="170" t="str">
        <f>HYPERLINK("http://www.amare-moscow.ru/catalog/steyki_ryby/losos_steyk_s_m_v_u_don_kreveton_0_7kg_8_sht_rossiya/","Лосось стейк с/м   в/у")</f>
        <v>Лосось стейк с/м   в/у</v>
      </c>
      <c r="C391" s="7"/>
      <c r="D391" s="11" t="s">
        <v>525</v>
      </c>
      <c r="E391" s="12"/>
      <c r="F391" s="10" t="s">
        <v>526</v>
      </c>
      <c r="G391" s="11" t="s">
        <v>19</v>
      </c>
      <c r="H391" s="13" t="s">
        <v>22</v>
      </c>
      <c r="I391" s="190">
        <v>1370</v>
      </c>
      <c r="J391" s="11"/>
      <c r="K391" s="11">
        <v>0</v>
      </c>
    </row>
    <row r="392" spans="1:11" ht="15" customHeight="1">
      <c r="A392" s="5"/>
      <c r="B392" s="150" t="str">
        <f>HYPERLINK("http://www.amare-moscow.ru/catalog/steyki_ryby/nerka_steyk_s_m_v_u_don_kreveton_0_7kg_8_sht_rossiya/","Нерка стейк с/м в/у")</f>
        <v>Нерка стейк с/м в/у</v>
      </c>
      <c r="C392" s="27"/>
      <c r="D392" s="30" t="s">
        <v>525</v>
      </c>
      <c r="F392" s="29" t="s">
        <v>526</v>
      </c>
      <c r="G392" s="30" t="s">
        <v>19</v>
      </c>
      <c r="H392" s="13" t="s">
        <v>22</v>
      </c>
      <c r="I392" s="13">
        <v>800</v>
      </c>
      <c r="J392" s="30"/>
      <c r="K392" s="30">
        <f>I392*J392</f>
        <v>0</v>
      </c>
    </row>
    <row r="393" spans="1:11" ht="15" customHeight="1">
      <c r="A393" s="5"/>
      <c r="B393" s="201" t="s">
        <v>529</v>
      </c>
      <c r="C393" s="27"/>
      <c r="D393" s="30" t="s">
        <v>525</v>
      </c>
      <c r="E393" s="12"/>
      <c r="F393" s="29" t="s">
        <v>526</v>
      </c>
      <c r="G393" s="30" t="s">
        <v>19</v>
      </c>
      <c r="H393" s="13" t="s">
        <v>22</v>
      </c>
      <c r="I393" s="13">
        <v>900</v>
      </c>
      <c r="J393" s="169"/>
      <c r="K393" s="30">
        <v>0</v>
      </c>
    </row>
    <row r="394" spans="1:11" ht="15" customHeight="1">
      <c r="A394" s="5"/>
      <c r="B394" s="156" t="s">
        <v>530</v>
      </c>
      <c r="C394" s="27"/>
      <c r="D394" s="276" t="s">
        <v>531</v>
      </c>
      <c r="E394" s="12"/>
      <c r="F394" s="29" t="s">
        <v>526</v>
      </c>
      <c r="G394" s="30" t="s">
        <v>19</v>
      </c>
      <c r="H394" s="13" t="s">
        <v>22</v>
      </c>
      <c r="I394" s="47">
        <v>970</v>
      </c>
      <c r="J394" s="169"/>
      <c r="K394" s="30">
        <v>0</v>
      </c>
    </row>
    <row r="395" spans="1:11" ht="15" customHeight="1">
      <c r="A395" s="5"/>
      <c r="B395" s="156" t="s">
        <v>532</v>
      </c>
      <c r="C395" s="27"/>
      <c r="D395" s="276" t="s">
        <v>531</v>
      </c>
      <c r="E395" s="12" t="s">
        <v>533</v>
      </c>
      <c r="F395" s="29" t="s">
        <v>526</v>
      </c>
      <c r="G395" s="30" t="s">
        <v>19</v>
      </c>
      <c r="H395" s="13" t="s">
        <v>22</v>
      </c>
      <c r="I395" s="13">
        <v>870</v>
      </c>
      <c r="J395" s="169"/>
      <c r="K395" s="30">
        <v>0</v>
      </c>
    </row>
    <row r="396" spans="1:11" ht="15" customHeight="1">
      <c r="A396" s="5"/>
      <c r="B396" s="156" t="s">
        <v>534</v>
      </c>
      <c r="C396" s="27"/>
      <c r="D396" s="277" t="s">
        <v>535</v>
      </c>
      <c r="E396" s="12"/>
      <c r="F396" s="29" t="s">
        <v>526</v>
      </c>
      <c r="G396" s="30" t="s">
        <v>19</v>
      </c>
      <c r="H396" s="13" t="s">
        <v>22</v>
      </c>
      <c r="I396" s="324">
        <v>430</v>
      </c>
      <c r="J396" s="169"/>
      <c r="K396" s="30">
        <v>0</v>
      </c>
    </row>
    <row r="397" spans="1:11" ht="15" customHeight="1">
      <c r="A397" s="5"/>
      <c r="B397" s="156" t="s">
        <v>536</v>
      </c>
      <c r="C397" s="27"/>
      <c r="D397" s="187" t="s">
        <v>297</v>
      </c>
      <c r="E397" s="12"/>
      <c r="F397" s="119" t="s">
        <v>39</v>
      </c>
      <c r="G397" s="325" t="s">
        <v>19</v>
      </c>
      <c r="H397" s="326" t="s">
        <v>22</v>
      </c>
      <c r="I397" s="327">
        <v>420</v>
      </c>
      <c r="J397" s="169"/>
      <c r="K397" s="30">
        <f>I397*J397</f>
        <v>0</v>
      </c>
    </row>
    <row r="398" spans="1:11" ht="72">
      <c r="A398" s="20"/>
      <c r="B398" s="200" t="str">
        <f>HYPERLINK("http://www.amare-moscow.ru/catalog/supovye_nabory_rybnye/","Суповые наборы рыбные")</f>
        <v>Суповые наборы рыбные</v>
      </c>
      <c r="C398" s="22"/>
      <c r="D398" s="23" t="s">
        <v>28</v>
      </c>
      <c r="E398" s="23" t="s">
        <v>29</v>
      </c>
      <c r="F398" s="24" t="s">
        <v>30</v>
      </c>
      <c r="G398" s="23" t="s">
        <v>31</v>
      </c>
      <c r="H398" s="25" t="s">
        <v>32</v>
      </c>
      <c r="I398" s="24" t="s">
        <v>33</v>
      </c>
      <c r="J398" s="24" t="s">
        <v>34</v>
      </c>
      <c r="K398" s="23" t="s">
        <v>35</v>
      </c>
    </row>
    <row r="399" spans="1:11" ht="15" customHeight="1">
      <c r="A399" s="5"/>
      <c r="B399" s="150" t="s">
        <v>537</v>
      </c>
      <c r="C399" s="27"/>
      <c r="D399" s="30" t="s">
        <v>538</v>
      </c>
      <c r="E399" s="12" t="s">
        <v>539</v>
      </c>
      <c r="F399" s="29" t="s">
        <v>299</v>
      </c>
      <c r="G399" s="30" t="s">
        <v>19</v>
      </c>
      <c r="H399" s="13" t="s">
        <v>22</v>
      </c>
      <c r="I399" s="138">
        <v>100</v>
      </c>
      <c r="J399" s="169"/>
      <c r="K399" s="30">
        <v>0</v>
      </c>
    </row>
    <row r="400" spans="1:11" ht="15" customHeight="1">
      <c r="A400" s="5"/>
      <c r="B400" s="156" t="s">
        <v>540</v>
      </c>
      <c r="C400" s="27"/>
      <c r="D400" s="28" t="s">
        <v>116</v>
      </c>
      <c r="E400" s="12" t="s">
        <v>539</v>
      </c>
      <c r="F400" s="29" t="s">
        <v>299</v>
      </c>
      <c r="G400" s="30" t="s">
        <v>19</v>
      </c>
      <c r="H400" s="13" t="s">
        <v>22</v>
      </c>
      <c r="I400" s="138">
        <v>55</v>
      </c>
      <c r="J400" s="169"/>
      <c r="K400" s="30">
        <v>0</v>
      </c>
    </row>
    <row r="401" spans="1:11" ht="15" customHeight="1">
      <c r="A401" s="5"/>
      <c r="B401" s="150" t="str">
        <f>HYPERLINK("http://www.amare-moscow.ru/catalog/supovye_nabory_rybnye/losos_supovoy_nabor_s_m_v_u_don_kreveton_1kg_10sht_rossiya/","Лосось суповой набор с/м   в/у")</f>
        <v>Лосось суповой набор с/м   в/у</v>
      </c>
      <c r="C401" s="27"/>
      <c r="D401" s="28" t="s">
        <v>339</v>
      </c>
      <c r="E401" s="12" t="s">
        <v>539</v>
      </c>
      <c r="F401" s="29" t="s">
        <v>299</v>
      </c>
      <c r="G401" s="30" t="s">
        <v>19</v>
      </c>
      <c r="H401" s="13" t="s">
        <v>22</v>
      </c>
      <c r="I401" s="13">
        <v>140</v>
      </c>
      <c r="J401" s="30"/>
      <c r="K401" s="30">
        <v>0</v>
      </c>
    </row>
    <row r="402" spans="1:11" ht="15" customHeight="1">
      <c r="A402" s="5"/>
      <c r="B402" s="150" t="str">
        <f>HYPERLINK("http://www.amare-moscow.ru/catalog/supovye_nabory_rybnye/losos_supovoy_nabor_s_m_v_u_premium_don_kreveton_ves_rossiya/","Форель суповой набор с/м   в/у Премиум")</f>
        <v>Форель суповой набор с/м   в/у Премиум</v>
      </c>
      <c r="C402" s="27"/>
      <c r="D402" s="28" t="s">
        <v>541</v>
      </c>
      <c r="E402" s="12" t="s">
        <v>539</v>
      </c>
      <c r="F402" s="29" t="s">
        <v>299</v>
      </c>
      <c r="G402" s="30" t="s">
        <v>19</v>
      </c>
      <c r="H402" s="13" t="s">
        <v>22</v>
      </c>
      <c r="I402" s="47">
        <v>270</v>
      </c>
      <c r="J402" s="30"/>
      <c r="K402" s="30">
        <v>0</v>
      </c>
    </row>
    <row r="403" spans="1:11" ht="15" customHeight="1">
      <c r="A403" s="5"/>
      <c r="B403" s="150" t="str">
        <f>HYPERLINK("http://www.amare-moscow.ru/catalog/supovye_nabory_rybnye/losos_supovoy_nabor_s_m_v_u_premium_don_kreveton_ves_rossiya/","Лосось суповой набор с/м   в/у Премиум")</f>
        <v>Лосось суповой набор с/м   в/у Премиум</v>
      </c>
      <c r="C403" s="27"/>
      <c r="D403" s="28" t="s">
        <v>541</v>
      </c>
      <c r="E403" s="12" t="s">
        <v>539</v>
      </c>
      <c r="F403" s="29" t="s">
        <v>299</v>
      </c>
      <c r="G403" s="30" t="s">
        <v>19</v>
      </c>
      <c r="H403" s="13" t="s">
        <v>22</v>
      </c>
      <c r="I403" s="47">
        <v>280</v>
      </c>
      <c r="J403" s="30"/>
      <c r="K403" s="30">
        <v>0</v>
      </c>
    </row>
    <row r="404" spans="1:11" ht="27" customHeight="1">
      <c r="A404" s="20"/>
      <c r="B404" s="200" t="str">
        <f>HYPERLINK("http://www.amare-moscow.ru/catalog/farsh_rybnyy/","Фарш рыбный")</f>
        <v>Фарш рыбный</v>
      </c>
      <c r="C404" s="22"/>
      <c r="D404" s="23" t="s">
        <v>28</v>
      </c>
      <c r="E404" s="23" t="s">
        <v>29</v>
      </c>
      <c r="F404" s="24" t="s">
        <v>30</v>
      </c>
      <c r="G404" s="23" t="s">
        <v>31</v>
      </c>
      <c r="H404" s="25" t="s">
        <v>32</v>
      </c>
      <c r="I404" s="24" t="s">
        <v>33</v>
      </c>
      <c r="J404" s="24" t="s">
        <v>34</v>
      </c>
      <c r="K404" s="23" t="s">
        <v>35</v>
      </c>
    </row>
    <row r="405" spans="1:11" ht="15" customHeight="1">
      <c r="A405" s="5"/>
      <c r="B405" s="150" t="str">
        <f>HYPERLINK("http://www.amare-moscow.ru/catalog/farsh_rybnyy/treska_farsh_s_m_v_u_don_kreveton_0_5kg_10sht_rossiya/","Треска фарш с/м в/у")</f>
        <v>Треска фарш с/м в/у</v>
      </c>
      <c r="C405" s="27"/>
      <c r="D405" s="28" t="s">
        <v>542</v>
      </c>
      <c r="E405" s="12"/>
      <c r="F405" s="29" t="s">
        <v>299</v>
      </c>
      <c r="G405" s="30" t="s">
        <v>19</v>
      </c>
      <c r="H405" s="13" t="s">
        <v>22</v>
      </c>
      <c r="I405" s="47">
        <v>250</v>
      </c>
      <c r="J405" s="30"/>
      <c r="K405" s="30">
        <f>I405*J405</f>
        <v>0</v>
      </c>
    </row>
    <row r="406" spans="1:11">
      <c r="A406" s="458" t="str">
        <f>HYPERLINK("http://amare-moscow.ru/catalog/ulitki/","Улитки")</f>
        <v>Улитки</v>
      </c>
      <c r="B406" s="457"/>
      <c r="C406" s="457"/>
      <c r="D406" s="457"/>
      <c r="E406" s="457"/>
      <c r="F406" s="457"/>
      <c r="G406" s="457"/>
      <c r="H406" s="457"/>
      <c r="I406" s="457"/>
      <c r="J406" s="457"/>
      <c r="K406" s="459"/>
    </row>
    <row r="407" spans="1:11" ht="25.5" customHeight="1">
      <c r="A407" s="20"/>
      <c r="B407" s="200" t="str">
        <f>HYPERLINK("http://www.amare-moscow.ru/catalog/ulitki/","Улитки")</f>
        <v>Улитки</v>
      </c>
      <c r="C407" s="22"/>
      <c r="D407" s="23" t="s">
        <v>28</v>
      </c>
      <c r="E407" s="23" t="s">
        <v>29</v>
      </c>
      <c r="F407" s="24" t="s">
        <v>30</v>
      </c>
      <c r="G407" s="23" t="s">
        <v>31</v>
      </c>
      <c r="H407" s="25" t="s">
        <v>32</v>
      </c>
      <c r="I407" s="24" t="s">
        <v>33</v>
      </c>
      <c r="J407" s="24" t="s">
        <v>34</v>
      </c>
      <c r="K407" s="23" t="s">
        <v>35</v>
      </c>
    </row>
    <row r="408" spans="1:11" ht="15" customHeight="1">
      <c r="A408" s="5"/>
      <c r="B408" s="156" t="s">
        <v>543</v>
      </c>
      <c r="C408" s="27"/>
      <c r="D408" s="28" t="s">
        <v>544</v>
      </c>
      <c r="E408" s="85" t="s">
        <v>545</v>
      </c>
      <c r="F408" s="29" t="s">
        <v>39</v>
      </c>
      <c r="G408" s="30" t="s">
        <v>516</v>
      </c>
      <c r="H408" s="138" t="s">
        <v>20</v>
      </c>
      <c r="I408" s="138" t="s">
        <v>204</v>
      </c>
      <c r="J408" s="169"/>
      <c r="K408" s="30">
        <v>0</v>
      </c>
    </row>
    <row r="409" spans="1:11" ht="15" customHeight="1">
      <c r="A409" s="5"/>
      <c r="B409" s="26" t="s">
        <v>546</v>
      </c>
      <c r="C409" s="27"/>
      <c r="D409" s="28" t="s">
        <v>547</v>
      </c>
      <c r="E409" s="12"/>
      <c r="F409" s="29" t="s">
        <v>39</v>
      </c>
      <c r="G409" s="30" t="s">
        <v>516</v>
      </c>
      <c r="H409" s="13" t="s">
        <v>20</v>
      </c>
      <c r="I409" s="13">
        <v>220</v>
      </c>
      <c r="J409" s="30"/>
      <c r="K409" s="30">
        <f t="shared" ref="K409:K413" si="40">I409*J409</f>
        <v>0</v>
      </c>
    </row>
    <row r="410" spans="1:11" ht="15" customHeight="1">
      <c r="A410" s="5"/>
      <c r="B410" s="26" t="s">
        <v>548</v>
      </c>
      <c r="C410" s="27"/>
      <c r="D410" s="28" t="s">
        <v>547</v>
      </c>
      <c r="E410" s="12"/>
      <c r="F410" s="29" t="s">
        <v>39</v>
      </c>
      <c r="G410" s="30" t="s">
        <v>516</v>
      </c>
      <c r="H410" s="13" t="s">
        <v>20</v>
      </c>
      <c r="I410" s="13">
        <v>220</v>
      </c>
      <c r="J410" s="30"/>
      <c r="K410" s="30">
        <f t="shared" si="40"/>
        <v>0</v>
      </c>
    </row>
    <row r="411" spans="1:11" ht="15" customHeight="1">
      <c r="A411" s="5"/>
      <c r="B411" s="26" t="s">
        <v>549</v>
      </c>
      <c r="C411" s="27"/>
      <c r="D411" s="28" t="s">
        <v>547</v>
      </c>
      <c r="E411" s="12"/>
      <c r="F411" s="29" t="s">
        <v>39</v>
      </c>
      <c r="G411" s="30" t="s">
        <v>516</v>
      </c>
      <c r="H411" s="13" t="s">
        <v>20</v>
      </c>
      <c r="I411" s="13">
        <v>220</v>
      </c>
      <c r="J411" s="30"/>
      <c r="K411" s="30">
        <f t="shared" si="40"/>
        <v>0</v>
      </c>
    </row>
    <row r="412" spans="1:11" ht="15" customHeight="1">
      <c r="A412" s="5"/>
      <c r="B412" s="26" t="s">
        <v>550</v>
      </c>
      <c r="C412" s="27"/>
      <c r="D412" s="28" t="s">
        <v>547</v>
      </c>
      <c r="E412" s="12"/>
      <c r="F412" s="29" t="s">
        <v>39</v>
      </c>
      <c r="G412" s="30" t="s">
        <v>516</v>
      </c>
      <c r="H412" s="13" t="s">
        <v>20</v>
      </c>
      <c r="I412" s="13">
        <v>220</v>
      </c>
      <c r="J412" s="30"/>
      <c r="K412" s="30">
        <f t="shared" si="40"/>
        <v>0</v>
      </c>
    </row>
    <row r="413" spans="1:11" ht="15" customHeight="1">
      <c r="A413" s="5"/>
      <c r="B413" s="26" t="s">
        <v>551</v>
      </c>
      <c r="C413" s="27"/>
      <c r="D413" s="28" t="s">
        <v>547</v>
      </c>
      <c r="E413" s="12"/>
      <c r="F413" s="29" t="s">
        <v>39</v>
      </c>
      <c r="G413" s="30" t="s">
        <v>516</v>
      </c>
      <c r="H413" s="13" t="s">
        <v>20</v>
      </c>
      <c r="I413" s="13">
        <v>220</v>
      </c>
      <c r="J413" s="30"/>
      <c r="K413" s="30">
        <f t="shared" si="40"/>
        <v>0</v>
      </c>
    </row>
    <row r="414" spans="1:11" ht="15" customHeight="1">
      <c r="A414" s="5"/>
      <c r="B414" s="48" t="s">
        <v>552</v>
      </c>
      <c r="C414" s="49"/>
      <c r="D414" s="50" t="s">
        <v>547</v>
      </c>
      <c r="E414" s="53"/>
      <c r="F414" s="52" t="s">
        <v>39</v>
      </c>
      <c r="G414" s="53" t="s">
        <v>516</v>
      </c>
      <c r="H414" s="328" t="s">
        <v>20</v>
      </c>
      <c r="I414" s="328">
        <v>220</v>
      </c>
      <c r="J414" s="53"/>
      <c r="K414" s="53">
        <v>0</v>
      </c>
    </row>
    <row r="415" spans="1:11" ht="15" customHeight="1">
      <c r="A415" s="5"/>
      <c r="B415" s="48" t="s">
        <v>553</v>
      </c>
      <c r="C415" s="49"/>
      <c r="D415" s="50" t="s">
        <v>547</v>
      </c>
      <c r="E415" s="53"/>
      <c r="F415" s="52" t="s">
        <v>39</v>
      </c>
      <c r="G415" s="53" t="s">
        <v>516</v>
      </c>
      <c r="H415" s="328" t="s">
        <v>20</v>
      </c>
      <c r="I415" s="328">
        <v>220</v>
      </c>
      <c r="J415" s="53"/>
      <c r="K415" s="53">
        <v>0</v>
      </c>
    </row>
    <row r="416" spans="1:11" ht="15" customHeight="1">
      <c r="A416" s="5"/>
      <c r="B416" s="329" t="s">
        <v>554</v>
      </c>
      <c r="C416" s="49"/>
      <c r="D416" s="50" t="s">
        <v>555</v>
      </c>
      <c r="E416" s="53"/>
      <c r="F416" s="52" t="s">
        <v>39</v>
      </c>
      <c r="G416" s="53" t="s">
        <v>516</v>
      </c>
      <c r="H416" s="328" t="s">
        <v>20</v>
      </c>
      <c r="I416" s="52">
        <v>220</v>
      </c>
      <c r="J416" s="53"/>
      <c r="K416" s="53">
        <v>0</v>
      </c>
    </row>
    <row r="417" spans="1:11" ht="15" customHeight="1">
      <c r="A417" s="5"/>
      <c r="B417" s="330" t="s">
        <v>556</v>
      </c>
      <c r="C417" s="49"/>
      <c r="D417" s="50" t="s">
        <v>555</v>
      </c>
      <c r="E417" s="53"/>
      <c r="F417" s="52" t="s">
        <v>39</v>
      </c>
      <c r="G417" s="53" t="s">
        <v>516</v>
      </c>
      <c r="H417" s="328" t="s">
        <v>20</v>
      </c>
      <c r="I417" s="52">
        <v>220</v>
      </c>
      <c r="J417" s="53"/>
      <c r="K417" s="53">
        <v>0</v>
      </c>
    </row>
    <row r="418" spans="1:11">
      <c r="A418" s="458" t="str">
        <f>HYPERLINK("http://www.amare-moscow.ru/catalog/02_bakaleya/","Бакалея")</f>
        <v>Бакалея</v>
      </c>
      <c r="B418" s="457"/>
      <c r="C418" s="457"/>
      <c r="D418" s="457"/>
      <c r="E418" s="457"/>
      <c r="F418" s="457"/>
      <c r="G418" s="457"/>
      <c r="H418" s="457"/>
      <c r="I418" s="457"/>
      <c r="J418" s="457"/>
      <c r="K418" s="459"/>
    </row>
    <row r="419" spans="1:11" ht="26.25" customHeight="1">
      <c r="A419" s="20"/>
      <c r="B419" s="331" t="str">
        <f>HYPERLINK("http://www.amare-moscow.ru/catalog/olivkovoe_maslo/","Оливковое масло")</f>
        <v>Оливковое масло</v>
      </c>
      <c r="C419" s="332"/>
      <c r="D419" s="23" t="s">
        <v>28</v>
      </c>
      <c r="E419" s="23" t="s">
        <v>29</v>
      </c>
      <c r="F419" s="24" t="s">
        <v>30</v>
      </c>
      <c r="G419" s="23" t="s">
        <v>31</v>
      </c>
      <c r="H419" s="25" t="s">
        <v>32</v>
      </c>
      <c r="I419" s="24" t="s">
        <v>33</v>
      </c>
      <c r="J419" s="24" t="s">
        <v>34</v>
      </c>
      <c r="K419" s="23" t="s">
        <v>35</v>
      </c>
    </row>
    <row r="420" spans="1:11" ht="15" customHeight="1">
      <c r="A420" s="5"/>
      <c r="B420" s="333" t="s">
        <v>557</v>
      </c>
      <c r="C420" s="27"/>
      <c r="D420" s="28" t="s">
        <v>558</v>
      </c>
      <c r="E420" s="119" t="s">
        <v>559</v>
      </c>
      <c r="F420" s="29"/>
      <c r="G420" s="30" t="s">
        <v>560</v>
      </c>
      <c r="H420" s="217" t="s">
        <v>20</v>
      </c>
      <c r="I420" s="334">
        <v>420</v>
      </c>
      <c r="J420" s="30"/>
      <c r="K420" s="30">
        <v>0</v>
      </c>
    </row>
    <row r="421" spans="1:11" ht="15" customHeight="1">
      <c r="A421" s="5"/>
      <c r="B421" s="335" t="s">
        <v>561</v>
      </c>
      <c r="C421" s="336"/>
      <c r="D421" s="28" t="s">
        <v>562</v>
      </c>
      <c r="E421" s="119" t="s">
        <v>559</v>
      </c>
      <c r="F421" s="29"/>
      <c r="G421" s="30" t="s">
        <v>560</v>
      </c>
      <c r="H421" s="281" t="s">
        <v>20</v>
      </c>
      <c r="I421" s="337">
        <v>325</v>
      </c>
      <c r="J421" s="169"/>
      <c r="K421" s="30">
        <f t="shared" ref="K421:K422" si="41">I421*J421</f>
        <v>0</v>
      </c>
    </row>
    <row r="422" spans="1:11" ht="15" customHeight="1">
      <c r="A422" s="5"/>
      <c r="B422" s="335" t="s">
        <v>563</v>
      </c>
      <c r="C422" s="336"/>
      <c r="D422" s="28" t="s">
        <v>558</v>
      </c>
      <c r="E422" s="119" t="s">
        <v>559</v>
      </c>
      <c r="F422" s="29"/>
      <c r="G422" s="30" t="s">
        <v>560</v>
      </c>
      <c r="H422" s="281" t="s">
        <v>20</v>
      </c>
      <c r="I422" s="337">
        <v>400</v>
      </c>
      <c r="J422" s="169"/>
      <c r="K422" s="30">
        <f t="shared" si="41"/>
        <v>0</v>
      </c>
    </row>
    <row r="423" spans="1:11" ht="72">
      <c r="A423" s="20"/>
      <c r="B423" s="331" t="str">
        <f>HYPERLINK("http://www.amare-moscow.ru/catalog/ostalnaya_bakaleya/","Остальная бакалея")</f>
        <v>Остальная бакалея</v>
      </c>
      <c r="C423" s="332"/>
      <c r="D423" s="23" t="s">
        <v>28</v>
      </c>
      <c r="E423" s="24"/>
      <c r="F423" s="24" t="s">
        <v>30</v>
      </c>
      <c r="G423" s="23" t="s">
        <v>31</v>
      </c>
      <c r="H423" s="25" t="s">
        <v>32</v>
      </c>
      <c r="I423" s="24" t="s">
        <v>33</v>
      </c>
      <c r="J423" s="24" t="s">
        <v>34</v>
      </c>
      <c r="K423" s="23" t="s">
        <v>35</v>
      </c>
    </row>
    <row r="424" spans="1:11" ht="15" customHeight="1">
      <c r="A424" s="5"/>
      <c r="B424" s="156" t="s">
        <v>564</v>
      </c>
      <c r="C424" s="27"/>
      <c r="D424" s="30" t="s">
        <v>216</v>
      </c>
      <c r="E424" s="12"/>
      <c r="F424" s="119" t="s">
        <v>213</v>
      </c>
      <c r="G424" s="30" t="s">
        <v>244</v>
      </c>
      <c r="H424" s="13" t="s">
        <v>22</v>
      </c>
      <c r="I424" s="13">
        <v>210</v>
      </c>
      <c r="J424" s="30"/>
      <c r="K424" s="30">
        <v>0</v>
      </c>
    </row>
    <row r="425" spans="1:11" ht="15" customHeight="1">
      <c r="A425" s="5"/>
      <c r="B425" s="338" t="s">
        <v>565</v>
      </c>
      <c r="C425" s="339"/>
      <c r="D425" s="340"/>
      <c r="E425" s="340"/>
      <c r="F425" s="340"/>
      <c r="G425" s="340"/>
      <c r="H425" s="340"/>
      <c r="I425" s="340"/>
      <c r="J425" s="340"/>
      <c r="K425" s="340"/>
    </row>
    <row r="426" spans="1:11" ht="15">
      <c r="A426" s="341"/>
      <c r="B426" s="156" t="s">
        <v>566</v>
      </c>
      <c r="C426" s="342"/>
      <c r="D426" s="40" t="s">
        <v>567</v>
      </c>
      <c r="E426" s="343"/>
      <c r="F426" s="344" t="s">
        <v>568</v>
      </c>
      <c r="G426" s="345" t="s">
        <v>305</v>
      </c>
      <c r="H426" s="40" t="s">
        <v>569</v>
      </c>
      <c r="I426" s="40">
        <v>280</v>
      </c>
      <c r="J426" s="346"/>
      <c r="K426" s="30">
        <f t="shared" ref="K426:K427" si="42">I426*J426</f>
        <v>0</v>
      </c>
    </row>
    <row r="427" spans="1:11" ht="15">
      <c r="A427" s="341"/>
      <c r="B427" s="347" t="s">
        <v>570</v>
      </c>
      <c r="C427" s="342"/>
      <c r="D427" s="40" t="s">
        <v>571</v>
      </c>
      <c r="E427" s="343"/>
      <c r="F427" s="348"/>
      <c r="G427" s="345" t="s">
        <v>305</v>
      </c>
      <c r="H427" s="40" t="s">
        <v>20</v>
      </c>
      <c r="I427" s="40">
        <v>30</v>
      </c>
      <c r="J427" s="346"/>
      <c r="K427" s="30">
        <f t="shared" si="42"/>
        <v>0</v>
      </c>
    </row>
    <row r="428" spans="1:11">
      <c r="A428" s="341"/>
      <c r="B428" s="338" t="s">
        <v>572</v>
      </c>
      <c r="C428" s="24"/>
      <c r="D428" s="24"/>
      <c r="E428" s="24"/>
      <c r="F428" s="24"/>
      <c r="G428" s="24"/>
      <c r="H428" s="24"/>
      <c r="I428" s="24"/>
      <c r="J428" s="24"/>
      <c r="K428" s="24"/>
    </row>
    <row r="429" spans="1:11" ht="15">
      <c r="A429" s="341"/>
      <c r="B429" s="26" t="s">
        <v>573</v>
      </c>
      <c r="C429" s="349"/>
      <c r="D429" s="44" t="s">
        <v>574</v>
      </c>
      <c r="E429" s="350"/>
      <c r="F429" s="344" t="s">
        <v>39</v>
      </c>
      <c r="G429" s="30" t="s">
        <v>445</v>
      </c>
      <c r="H429" s="40" t="s">
        <v>20</v>
      </c>
      <c r="I429" s="44" t="s">
        <v>143</v>
      </c>
      <c r="J429" s="351"/>
      <c r="K429" s="30">
        <v>0</v>
      </c>
    </row>
    <row r="430" spans="1:11" ht="15">
      <c r="A430" s="341"/>
      <c r="B430" s="26" t="s">
        <v>575</v>
      </c>
      <c r="C430" s="349"/>
      <c r="D430" s="44" t="s">
        <v>574</v>
      </c>
      <c r="E430" s="350"/>
      <c r="F430" s="344" t="s">
        <v>39</v>
      </c>
      <c r="G430" s="30" t="s">
        <v>445</v>
      </c>
      <c r="H430" s="40" t="s">
        <v>20</v>
      </c>
      <c r="I430" s="44" t="s">
        <v>143</v>
      </c>
      <c r="J430" s="351"/>
      <c r="K430" s="30">
        <v>0</v>
      </c>
    </row>
    <row r="431" spans="1:11" ht="15">
      <c r="A431" s="341"/>
      <c r="B431" s="26" t="s">
        <v>576</v>
      </c>
      <c r="C431" s="349"/>
      <c r="D431" s="44" t="s">
        <v>574</v>
      </c>
      <c r="E431" s="350"/>
      <c r="F431" s="344" t="s">
        <v>39</v>
      </c>
      <c r="G431" s="30" t="s">
        <v>445</v>
      </c>
      <c r="H431" s="40" t="s">
        <v>20</v>
      </c>
      <c r="I431" s="44" t="s">
        <v>577</v>
      </c>
      <c r="J431" s="351"/>
      <c r="K431" s="30">
        <v>0</v>
      </c>
    </row>
    <row r="432" spans="1:11" ht="15">
      <c r="A432" s="341"/>
      <c r="B432" s="26" t="s">
        <v>578</v>
      </c>
      <c r="C432" s="349"/>
      <c r="D432" s="44" t="s">
        <v>574</v>
      </c>
      <c r="E432" s="350"/>
      <c r="F432" s="344" t="s">
        <v>39</v>
      </c>
      <c r="G432" s="30" t="s">
        <v>445</v>
      </c>
      <c r="H432" s="40" t="s">
        <v>20</v>
      </c>
      <c r="I432" s="44" t="s">
        <v>143</v>
      </c>
      <c r="J432" s="351"/>
      <c r="K432" s="30">
        <v>0</v>
      </c>
    </row>
    <row r="433" spans="1:11" ht="15">
      <c r="A433" s="341"/>
      <c r="B433" s="26" t="s">
        <v>579</v>
      </c>
      <c r="C433" s="349"/>
      <c r="D433" s="44" t="s">
        <v>574</v>
      </c>
      <c r="E433" s="350"/>
      <c r="F433" s="344" t="s">
        <v>39</v>
      </c>
      <c r="G433" s="30" t="s">
        <v>445</v>
      </c>
      <c r="H433" s="40" t="s">
        <v>20</v>
      </c>
      <c r="I433" s="44" t="s">
        <v>580</v>
      </c>
      <c r="J433" s="351"/>
      <c r="K433" s="30">
        <v>0</v>
      </c>
    </row>
    <row r="434" spans="1:11" ht="15">
      <c r="A434" s="352" t="s">
        <v>581</v>
      </c>
      <c r="B434" s="26" t="s">
        <v>582</v>
      </c>
      <c r="C434" s="349"/>
      <c r="D434" s="44" t="s">
        <v>574</v>
      </c>
      <c r="E434" s="350"/>
      <c r="F434" s="344" t="s">
        <v>39</v>
      </c>
      <c r="G434" s="30" t="s">
        <v>445</v>
      </c>
      <c r="H434" s="40" t="s">
        <v>20</v>
      </c>
      <c r="I434" s="44" t="s">
        <v>577</v>
      </c>
      <c r="J434" s="351"/>
      <c r="K434" s="30">
        <v>0</v>
      </c>
    </row>
    <row r="435" spans="1:11" ht="15">
      <c r="A435" s="353"/>
      <c r="B435" s="26" t="s">
        <v>583</v>
      </c>
      <c r="C435" s="349"/>
      <c r="D435" s="44" t="s">
        <v>574</v>
      </c>
      <c r="E435" s="350"/>
      <c r="F435" s="344" t="s">
        <v>39</v>
      </c>
      <c r="G435" s="30" t="s">
        <v>445</v>
      </c>
      <c r="H435" s="40" t="s">
        <v>20</v>
      </c>
      <c r="I435" s="44" t="s">
        <v>577</v>
      </c>
      <c r="J435" s="351"/>
      <c r="K435" s="30">
        <v>0</v>
      </c>
    </row>
    <row r="436" spans="1:11" ht="15">
      <c r="A436" s="353"/>
      <c r="B436" s="26" t="s">
        <v>584</v>
      </c>
      <c r="C436" s="349"/>
      <c r="D436" s="44" t="s">
        <v>574</v>
      </c>
      <c r="E436" s="350"/>
      <c r="F436" s="344" t="s">
        <v>39</v>
      </c>
      <c r="G436" s="30" t="s">
        <v>445</v>
      </c>
      <c r="H436" s="40" t="s">
        <v>20</v>
      </c>
      <c r="I436" s="44" t="s">
        <v>577</v>
      </c>
      <c r="J436" s="351"/>
      <c r="K436" s="30">
        <v>0</v>
      </c>
    </row>
    <row r="437" spans="1:11" ht="15">
      <c r="A437" s="341"/>
      <c r="B437" s="26" t="s">
        <v>585</v>
      </c>
      <c r="C437" s="342"/>
      <c r="D437" s="40" t="s">
        <v>586</v>
      </c>
      <c r="E437" s="343"/>
      <c r="F437" s="344" t="s">
        <v>39</v>
      </c>
      <c r="G437" s="30" t="s">
        <v>445</v>
      </c>
      <c r="H437" s="40" t="s">
        <v>20</v>
      </c>
      <c r="I437" s="40" t="s">
        <v>577</v>
      </c>
      <c r="J437" s="346"/>
      <c r="K437" s="30">
        <v>0</v>
      </c>
    </row>
    <row r="438" spans="1:11" ht="15">
      <c r="A438" s="341"/>
      <c r="B438" s="26" t="s">
        <v>587</v>
      </c>
      <c r="C438" s="342"/>
      <c r="D438" s="40" t="s">
        <v>586</v>
      </c>
      <c r="E438" s="343"/>
      <c r="F438" s="344" t="s">
        <v>39</v>
      </c>
      <c r="G438" s="30" t="s">
        <v>445</v>
      </c>
      <c r="H438" s="40" t="s">
        <v>20</v>
      </c>
      <c r="I438" s="40" t="s">
        <v>577</v>
      </c>
      <c r="J438" s="346"/>
      <c r="K438" s="30">
        <v>0</v>
      </c>
    </row>
    <row r="439" spans="1:11" ht="15">
      <c r="A439" s="341"/>
      <c r="B439" s="26" t="s">
        <v>588</v>
      </c>
      <c r="C439" s="342"/>
      <c r="D439" s="40" t="s">
        <v>586</v>
      </c>
      <c r="E439" s="343"/>
      <c r="F439" s="344" t="s">
        <v>39</v>
      </c>
      <c r="G439" s="30" t="s">
        <v>445</v>
      </c>
      <c r="H439" s="40" t="s">
        <v>20</v>
      </c>
      <c r="I439" s="40" t="s">
        <v>143</v>
      </c>
      <c r="J439" s="346"/>
      <c r="K439" s="30">
        <v>0</v>
      </c>
    </row>
    <row r="440" spans="1:11" ht="15">
      <c r="A440" s="341"/>
      <c r="B440" s="26" t="s">
        <v>589</v>
      </c>
      <c r="C440" s="342"/>
      <c r="D440" s="44" t="s">
        <v>574</v>
      </c>
      <c r="E440" s="343"/>
      <c r="F440" s="344" t="s">
        <v>39</v>
      </c>
      <c r="G440" s="30" t="s">
        <v>445</v>
      </c>
      <c r="H440" s="40" t="s">
        <v>20</v>
      </c>
      <c r="I440" s="40" t="s">
        <v>577</v>
      </c>
      <c r="J440" s="346"/>
      <c r="K440" s="30">
        <v>0</v>
      </c>
    </row>
    <row r="441" spans="1:11">
      <c r="A441" s="341"/>
      <c r="B441" s="338" t="s">
        <v>590</v>
      </c>
      <c r="C441" s="24"/>
      <c r="D441" s="24"/>
      <c r="E441" s="24"/>
      <c r="F441" s="24"/>
      <c r="G441" s="24"/>
      <c r="H441" s="24"/>
      <c r="I441" s="24"/>
      <c r="J441" s="24"/>
      <c r="K441" s="354"/>
    </row>
    <row r="442" spans="1:11">
      <c r="A442" s="341"/>
      <c r="B442" s="355" t="s">
        <v>591</v>
      </c>
      <c r="C442" s="356"/>
      <c r="D442" s="357" t="s">
        <v>592</v>
      </c>
      <c r="E442" s="358"/>
      <c r="F442" s="359" t="s">
        <v>213</v>
      </c>
      <c r="G442" s="60" t="s">
        <v>593</v>
      </c>
      <c r="H442" s="357" t="s">
        <v>20</v>
      </c>
      <c r="I442" s="360">
        <v>100</v>
      </c>
      <c r="J442" s="361"/>
      <c r="K442" s="97">
        <f t="shared" ref="K442:K447" si="43">I442*J442</f>
        <v>0</v>
      </c>
    </row>
    <row r="443" spans="1:11">
      <c r="A443" s="341"/>
      <c r="B443" s="355" t="s">
        <v>594</v>
      </c>
      <c r="C443" s="356"/>
      <c r="D443" s="357" t="s">
        <v>592</v>
      </c>
      <c r="E443" s="358"/>
      <c r="F443" s="359" t="s">
        <v>213</v>
      </c>
      <c r="G443" s="60" t="s">
        <v>593</v>
      </c>
      <c r="H443" s="357" t="s">
        <v>20</v>
      </c>
      <c r="I443" s="360">
        <v>100</v>
      </c>
      <c r="J443" s="361"/>
      <c r="K443" s="97">
        <f t="shared" si="43"/>
        <v>0</v>
      </c>
    </row>
    <row r="444" spans="1:11">
      <c r="A444" s="341"/>
      <c r="B444" s="355" t="s">
        <v>595</v>
      </c>
      <c r="C444" s="356"/>
      <c r="D444" s="357" t="s">
        <v>592</v>
      </c>
      <c r="E444" s="358"/>
      <c r="F444" s="359" t="s">
        <v>213</v>
      </c>
      <c r="G444" s="60" t="s">
        <v>593</v>
      </c>
      <c r="H444" s="357" t="s">
        <v>20</v>
      </c>
      <c r="I444" s="360">
        <v>107</v>
      </c>
      <c r="J444" s="361"/>
      <c r="K444" s="97">
        <f t="shared" si="43"/>
        <v>0</v>
      </c>
    </row>
    <row r="445" spans="1:11">
      <c r="A445" s="341"/>
      <c r="B445" s="355" t="s">
        <v>596</v>
      </c>
      <c r="C445" s="356"/>
      <c r="D445" s="357" t="s">
        <v>592</v>
      </c>
      <c r="E445" s="358"/>
      <c r="F445" s="359" t="s">
        <v>213</v>
      </c>
      <c r="G445" s="60" t="s">
        <v>593</v>
      </c>
      <c r="H445" s="357" t="s">
        <v>20</v>
      </c>
      <c r="I445" s="360">
        <v>107</v>
      </c>
      <c r="J445" s="361"/>
      <c r="K445" s="97">
        <f t="shared" si="43"/>
        <v>0</v>
      </c>
    </row>
    <row r="446" spans="1:11">
      <c r="A446" s="341"/>
      <c r="B446" s="355" t="s">
        <v>597</v>
      </c>
      <c r="C446" s="356"/>
      <c r="D446" s="357" t="s">
        <v>592</v>
      </c>
      <c r="E446" s="358"/>
      <c r="F446" s="359" t="s">
        <v>213</v>
      </c>
      <c r="G446" s="60" t="s">
        <v>593</v>
      </c>
      <c r="H446" s="357" t="s">
        <v>20</v>
      </c>
      <c r="I446" s="360">
        <v>107</v>
      </c>
      <c r="J446" s="361"/>
      <c r="K446" s="97">
        <f t="shared" si="43"/>
        <v>0</v>
      </c>
    </row>
    <row r="447" spans="1:11" ht="15">
      <c r="A447" s="341"/>
      <c r="B447" s="362" t="s">
        <v>598</v>
      </c>
      <c r="C447" s="356"/>
      <c r="D447" s="357" t="s">
        <v>599</v>
      </c>
      <c r="E447" s="358"/>
      <c r="F447" s="363"/>
      <c r="G447" s="60" t="s">
        <v>593</v>
      </c>
      <c r="H447" s="357" t="s">
        <v>20</v>
      </c>
      <c r="I447" s="357">
        <v>75</v>
      </c>
      <c r="J447" s="364"/>
      <c r="K447" s="97">
        <f t="shared" si="43"/>
        <v>0</v>
      </c>
    </row>
    <row r="448" spans="1:11" ht="15">
      <c r="A448" s="341"/>
      <c r="B448" s="365"/>
      <c r="C448" s="365"/>
      <c r="D448" s="366"/>
      <c r="E448" s="366"/>
      <c r="F448" s="367"/>
      <c r="G448" s="367"/>
      <c r="H448" s="366"/>
      <c r="I448" s="366"/>
      <c r="J448" s="368"/>
      <c r="K448" s="368"/>
    </row>
    <row r="449" spans="1:11" ht="15">
      <c r="A449" s="341"/>
      <c r="B449" s="365"/>
      <c r="C449" s="365"/>
      <c r="D449" s="366"/>
      <c r="E449" s="366"/>
      <c r="F449" s="367"/>
      <c r="G449" s="367"/>
      <c r="H449" s="366"/>
      <c r="I449" s="366"/>
      <c r="J449" s="368"/>
      <c r="K449" s="368"/>
    </row>
    <row r="450" spans="1:11" ht="15">
      <c r="A450" s="341"/>
      <c r="B450" s="365"/>
      <c r="C450" s="365"/>
      <c r="D450" s="366"/>
      <c r="E450" s="366"/>
      <c r="F450" s="367"/>
      <c r="G450" s="367"/>
      <c r="H450" s="366"/>
      <c r="I450" s="366"/>
      <c r="J450" s="368"/>
      <c r="K450" s="368"/>
    </row>
    <row r="451" spans="1:11" ht="15">
      <c r="A451" s="341"/>
      <c r="B451" s="365"/>
      <c r="C451" s="365"/>
      <c r="D451" s="366"/>
      <c r="E451" s="366"/>
      <c r="F451" s="367"/>
      <c r="G451" s="367"/>
      <c r="H451" s="366"/>
      <c r="I451" s="366"/>
      <c r="J451" s="368"/>
      <c r="K451" s="368"/>
    </row>
    <row r="452" spans="1:11" ht="15">
      <c r="A452" s="341"/>
      <c r="B452" s="365"/>
      <c r="C452" s="365"/>
      <c r="D452" s="366"/>
      <c r="E452" s="366"/>
      <c r="F452" s="367"/>
      <c r="G452" s="367"/>
      <c r="H452" s="366"/>
      <c r="I452" s="366"/>
      <c r="J452" s="368"/>
      <c r="K452" s="368"/>
    </row>
    <row r="453" spans="1:11" ht="15">
      <c r="A453" s="341"/>
      <c r="B453" s="365"/>
      <c r="C453" s="365"/>
      <c r="D453" s="366"/>
      <c r="E453" s="366"/>
      <c r="F453" s="367"/>
      <c r="G453" s="367"/>
      <c r="H453" s="366"/>
      <c r="I453" s="366"/>
      <c r="J453" s="368"/>
      <c r="K453" s="368"/>
    </row>
    <row r="454" spans="1:11" ht="15">
      <c r="A454" s="341"/>
      <c r="B454" s="365"/>
      <c r="C454" s="365"/>
      <c r="D454" s="366"/>
      <c r="E454" s="366"/>
      <c r="F454" s="367"/>
      <c r="G454" s="367"/>
      <c r="H454" s="366"/>
      <c r="I454" s="366"/>
      <c r="J454" s="368"/>
      <c r="K454" s="368"/>
    </row>
    <row r="455" spans="1:11" ht="15">
      <c r="A455" s="341"/>
      <c r="B455" s="365"/>
      <c r="C455" s="365"/>
      <c r="D455" s="366"/>
      <c r="E455" s="366"/>
      <c r="F455" s="367"/>
      <c r="G455" s="367"/>
      <c r="H455" s="366"/>
      <c r="I455" s="366"/>
      <c r="J455" s="368"/>
      <c r="K455" s="368"/>
    </row>
    <row r="456" spans="1:11" ht="15">
      <c r="A456" s="341"/>
      <c r="B456" s="365"/>
      <c r="C456" s="365"/>
      <c r="D456" s="366"/>
      <c r="E456" s="366"/>
      <c r="F456" s="367"/>
      <c r="G456" s="367"/>
      <c r="H456" s="366"/>
      <c r="I456" s="366"/>
      <c r="J456" s="368"/>
      <c r="K456" s="368"/>
    </row>
    <row r="457" spans="1:11" ht="15">
      <c r="A457" s="341"/>
      <c r="B457" s="365"/>
      <c r="C457" s="365"/>
      <c r="D457" s="366"/>
      <c r="E457" s="366"/>
      <c r="F457" s="367"/>
      <c r="G457" s="367"/>
      <c r="H457" s="366"/>
      <c r="I457" s="366"/>
      <c r="J457" s="368"/>
      <c r="K457" s="368"/>
    </row>
    <row r="458" spans="1:11" ht="15">
      <c r="A458" s="341"/>
      <c r="B458" s="365"/>
      <c r="C458" s="365"/>
      <c r="D458" s="366"/>
      <c r="E458" s="366"/>
      <c r="F458" s="367"/>
      <c r="G458" s="367"/>
      <c r="H458" s="366"/>
      <c r="I458" s="366"/>
      <c r="J458" s="368"/>
      <c r="K458" s="368"/>
    </row>
    <row r="459" spans="1:11" ht="15">
      <c r="A459" s="341"/>
      <c r="B459" s="365"/>
      <c r="C459" s="365"/>
      <c r="D459" s="366"/>
      <c r="E459" s="366"/>
      <c r="F459" s="367"/>
      <c r="G459" s="367"/>
      <c r="H459" s="366"/>
      <c r="I459" s="366"/>
      <c r="J459" s="368"/>
      <c r="K459" s="368"/>
    </row>
    <row r="460" spans="1:11" ht="15">
      <c r="A460" s="341"/>
      <c r="B460" s="365"/>
      <c r="C460" s="365"/>
      <c r="D460" s="366"/>
      <c r="E460" s="366"/>
      <c r="F460" s="367"/>
      <c r="G460" s="367"/>
      <c r="H460" s="366"/>
      <c r="I460" s="366"/>
      <c r="J460" s="368"/>
      <c r="K460" s="368"/>
    </row>
    <row r="461" spans="1:11" ht="15">
      <c r="A461" s="341"/>
      <c r="B461" s="365"/>
      <c r="C461" s="365"/>
      <c r="D461" s="366"/>
      <c r="E461" s="366"/>
      <c r="F461" s="367"/>
      <c r="G461" s="367"/>
      <c r="H461" s="366"/>
      <c r="I461" s="366"/>
      <c r="J461" s="368"/>
      <c r="K461" s="368"/>
    </row>
    <row r="462" spans="1:11" ht="15">
      <c r="A462" s="341"/>
      <c r="B462" s="365"/>
      <c r="C462" s="365"/>
      <c r="D462" s="366"/>
      <c r="E462" s="366"/>
      <c r="F462" s="367"/>
      <c r="G462" s="367"/>
      <c r="H462" s="366"/>
      <c r="I462" s="366"/>
      <c r="J462" s="368"/>
      <c r="K462" s="368"/>
    </row>
    <row r="463" spans="1:11" ht="15">
      <c r="A463" s="341"/>
      <c r="B463" s="365"/>
      <c r="C463" s="365"/>
      <c r="D463" s="366"/>
      <c r="E463" s="366"/>
      <c r="F463" s="367"/>
      <c r="G463" s="367"/>
      <c r="H463" s="366"/>
      <c r="I463" s="366"/>
      <c r="J463" s="368"/>
      <c r="K463" s="368"/>
    </row>
    <row r="464" spans="1:11" ht="15">
      <c r="A464" s="341"/>
      <c r="B464" s="365"/>
      <c r="C464" s="365"/>
      <c r="D464" s="366"/>
      <c r="E464" s="366"/>
      <c r="F464" s="367"/>
      <c r="G464" s="367"/>
      <c r="H464" s="366"/>
      <c r="I464" s="366"/>
      <c r="J464" s="368"/>
      <c r="K464" s="368"/>
    </row>
    <row r="465" spans="1:11" ht="15">
      <c r="A465" s="341"/>
      <c r="B465" s="365"/>
      <c r="C465" s="365"/>
      <c r="D465" s="366"/>
      <c r="E465" s="366"/>
      <c r="F465" s="367"/>
      <c r="G465" s="367"/>
      <c r="H465" s="366"/>
      <c r="I465" s="366"/>
      <c r="J465" s="368"/>
      <c r="K465" s="368"/>
    </row>
    <row r="466" spans="1:11" ht="15">
      <c r="A466" s="341"/>
      <c r="B466" s="365"/>
      <c r="C466" s="365"/>
      <c r="D466" s="366"/>
      <c r="E466" s="366"/>
      <c r="F466" s="367"/>
      <c r="G466" s="367"/>
      <c r="H466" s="366"/>
      <c r="I466" s="366"/>
      <c r="J466" s="368"/>
      <c r="K466" s="368"/>
    </row>
    <row r="467" spans="1:11" ht="15">
      <c r="A467" s="341"/>
      <c r="B467" s="365"/>
      <c r="C467" s="365"/>
      <c r="D467" s="366"/>
      <c r="E467" s="366"/>
      <c r="F467" s="367"/>
      <c r="G467" s="367"/>
      <c r="H467" s="366"/>
      <c r="I467" s="366"/>
      <c r="J467" s="368"/>
      <c r="K467" s="368"/>
    </row>
    <row r="468" spans="1:11" ht="15">
      <c r="A468" s="341"/>
      <c r="B468" s="365"/>
      <c r="C468" s="365"/>
      <c r="D468" s="366"/>
      <c r="E468" s="366"/>
      <c r="F468" s="367"/>
      <c r="G468" s="367"/>
      <c r="H468" s="366"/>
      <c r="I468" s="366"/>
      <c r="J468" s="368"/>
      <c r="K468" s="368"/>
    </row>
    <row r="469" spans="1:11" ht="15">
      <c r="A469" s="341"/>
      <c r="B469" s="365"/>
      <c r="C469" s="365"/>
      <c r="D469" s="366"/>
      <c r="E469" s="366"/>
      <c r="F469" s="367"/>
      <c r="G469" s="367"/>
      <c r="H469" s="366"/>
      <c r="I469" s="366"/>
      <c r="J469" s="368"/>
      <c r="K469" s="368"/>
    </row>
    <row r="470" spans="1:11" ht="15">
      <c r="A470" s="341"/>
      <c r="B470" s="365"/>
      <c r="C470" s="365"/>
      <c r="D470" s="366"/>
      <c r="E470" s="366"/>
      <c r="F470" s="367"/>
      <c r="G470" s="367"/>
      <c r="H470" s="366"/>
      <c r="I470" s="366"/>
      <c r="J470" s="368"/>
      <c r="K470" s="368"/>
    </row>
    <row r="471" spans="1:11" ht="15">
      <c r="A471" s="341"/>
      <c r="B471" s="365"/>
      <c r="C471" s="365"/>
      <c r="D471" s="366"/>
      <c r="E471" s="366"/>
      <c r="F471" s="367"/>
      <c r="G471" s="367"/>
      <c r="H471" s="366"/>
      <c r="I471" s="366"/>
      <c r="J471" s="368"/>
      <c r="K471" s="368"/>
    </row>
    <row r="472" spans="1:11" ht="15">
      <c r="A472" s="341"/>
      <c r="B472" s="365"/>
      <c r="C472" s="365"/>
      <c r="D472" s="366"/>
      <c r="E472" s="366"/>
      <c r="F472" s="367"/>
      <c r="G472" s="367"/>
      <c r="H472" s="366"/>
      <c r="I472" s="366"/>
      <c r="J472" s="368"/>
      <c r="K472" s="368"/>
    </row>
    <row r="473" spans="1:11" ht="15">
      <c r="A473" s="341"/>
      <c r="B473" s="365"/>
      <c r="C473" s="365"/>
      <c r="D473" s="366"/>
      <c r="E473" s="366"/>
      <c r="F473" s="367"/>
      <c r="G473" s="367"/>
      <c r="H473" s="366"/>
      <c r="I473" s="366"/>
      <c r="J473" s="368"/>
      <c r="K473" s="368"/>
    </row>
    <row r="474" spans="1:11" ht="15">
      <c r="A474" s="341"/>
      <c r="B474" s="365"/>
      <c r="C474" s="365"/>
      <c r="D474" s="366"/>
      <c r="E474" s="366"/>
      <c r="F474" s="367"/>
      <c r="G474" s="367"/>
      <c r="H474" s="366"/>
      <c r="I474" s="366"/>
      <c r="J474" s="368"/>
      <c r="K474" s="368"/>
    </row>
    <row r="475" spans="1:11" ht="15">
      <c r="A475" s="341"/>
      <c r="B475" s="365"/>
      <c r="C475" s="365"/>
      <c r="D475" s="366"/>
      <c r="E475" s="366"/>
      <c r="F475" s="367"/>
      <c r="G475" s="367"/>
      <c r="H475" s="366"/>
      <c r="I475" s="366"/>
      <c r="J475" s="368"/>
      <c r="K475" s="368"/>
    </row>
    <row r="476" spans="1:11" ht="15">
      <c r="A476" s="341"/>
      <c r="B476" s="365"/>
      <c r="C476" s="365"/>
      <c r="D476" s="366"/>
      <c r="E476" s="366"/>
      <c r="F476" s="367"/>
      <c r="G476" s="367"/>
      <c r="H476" s="366"/>
      <c r="I476" s="366"/>
      <c r="J476" s="368"/>
      <c r="K476" s="368"/>
    </row>
    <row r="477" spans="1:11" ht="15">
      <c r="A477" s="341"/>
      <c r="B477" s="365"/>
      <c r="C477" s="365"/>
      <c r="D477" s="366"/>
      <c r="E477" s="366"/>
      <c r="F477" s="367"/>
      <c r="G477" s="367"/>
      <c r="H477" s="366"/>
      <c r="I477" s="366"/>
      <c r="J477" s="368"/>
      <c r="K477" s="368"/>
    </row>
    <row r="478" spans="1:11" ht="15">
      <c r="A478" s="341"/>
      <c r="B478" s="365"/>
      <c r="C478" s="365"/>
      <c r="D478" s="366"/>
      <c r="E478" s="366"/>
      <c r="F478" s="367"/>
      <c r="G478" s="367"/>
      <c r="H478" s="366"/>
      <c r="I478" s="366"/>
      <c r="J478" s="368"/>
      <c r="K478" s="368"/>
    </row>
    <row r="479" spans="1:11" ht="15">
      <c r="A479" s="341"/>
      <c r="B479" s="365"/>
      <c r="C479" s="365"/>
      <c r="D479" s="366"/>
      <c r="E479" s="366"/>
      <c r="F479" s="367"/>
      <c r="G479" s="367"/>
      <c r="H479" s="366"/>
      <c r="I479" s="366"/>
      <c r="J479" s="368"/>
      <c r="K479" s="368"/>
    </row>
    <row r="480" spans="1:11" ht="15">
      <c r="A480" s="341"/>
      <c r="B480" s="365"/>
      <c r="C480" s="365"/>
      <c r="D480" s="366"/>
      <c r="E480" s="366"/>
      <c r="F480" s="367"/>
      <c r="G480" s="367"/>
      <c r="H480" s="366"/>
      <c r="I480" s="366"/>
      <c r="J480" s="368"/>
      <c r="K480" s="368"/>
    </row>
    <row r="481" spans="1:11" ht="15">
      <c r="A481" s="341"/>
      <c r="B481" s="365"/>
      <c r="C481" s="365"/>
      <c r="D481" s="366"/>
      <c r="E481" s="366"/>
      <c r="F481" s="367"/>
      <c r="G481" s="367"/>
      <c r="H481" s="366"/>
      <c r="I481" s="366"/>
      <c r="J481" s="368"/>
      <c r="K481" s="368"/>
    </row>
    <row r="482" spans="1:11" ht="15">
      <c r="A482" s="341"/>
      <c r="B482" s="365"/>
      <c r="C482" s="365"/>
      <c r="D482" s="366"/>
      <c r="E482" s="366"/>
      <c r="F482" s="367"/>
      <c r="G482" s="367"/>
      <c r="H482" s="366"/>
      <c r="I482" s="366"/>
      <c r="J482" s="368"/>
      <c r="K482" s="368"/>
    </row>
    <row r="483" spans="1:11" ht="15">
      <c r="A483" s="341"/>
      <c r="B483" s="365"/>
      <c r="C483" s="365"/>
      <c r="D483" s="366"/>
      <c r="E483" s="366"/>
      <c r="F483" s="367"/>
      <c r="G483" s="367"/>
      <c r="H483" s="366"/>
      <c r="I483" s="366"/>
      <c r="J483" s="368"/>
      <c r="K483" s="368"/>
    </row>
    <row r="484" spans="1:11" ht="15">
      <c r="A484" s="341"/>
      <c r="B484" s="365"/>
      <c r="C484" s="365"/>
      <c r="D484" s="366"/>
      <c r="E484" s="366"/>
      <c r="F484" s="367"/>
      <c r="G484" s="367"/>
      <c r="H484" s="366"/>
      <c r="I484" s="366"/>
      <c r="J484" s="368"/>
      <c r="K484" s="368"/>
    </row>
    <row r="485" spans="1:11" ht="15">
      <c r="A485" s="341"/>
      <c r="B485" s="365"/>
      <c r="C485" s="365"/>
      <c r="D485" s="366"/>
      <c r="E485" s="366"/>
      <c r="F485" s="367"/>
      <c r="G485" s="367"/>
      <c r="H485" s="366"/>
      <c r="I485" s="366"/>
      <c r="J485" s="368"/>
      <c r="K485" s="368"/>
    </row>
    <row r="486" spans="1:11" ht="15">
      <c r="A486" s="341"/>
      <c r="B486" s="365"/>
      <c r="C486" s="365"/>
      <c r="D486" s="366"/>
      <c r="E486" s="366"/>
      <c r="F486" s="367"/>
      <c r="G486" s="367"/>
      <c r="H486" s="366"/>
      <c r="I486" s="366"/>
      <c r="J486" s="368"/>
      <c r="K486" s="368"/>
    </row>
    <row r="487" spans="1:11" ht="15">
      <c r="A487" s="341"/>
      <c r="B487" s="365"/>
      <c r="C487" s="365"/>
      <c r="D487" s="366"/>
      <c r="E487" s="366"/>
      <c r="F487" s="367"/>
      <c r="G487" s="367"/>
      <c r="H487" s="366"/>
      <c r="I487" s="366"/>
      <c r="J487" s="368"/>
      <c r="K487" s="368"/>
    </row>
    <row r="488" spans="1:11" ht="15">
      <c r="A488" s="341"/>
      <c r="B488" s="365"/>
      <c r="C488" s="365"/>
      <c r="D488" s="366"/>
      <c r="E488" s="366"/>
      <c r="F488" s="367"/>
      <c r="G488" s="367"/>
      <c r="H488" s="366"/>
      <c r="I488" s="366"/>
      <c r="J488" s="368"/>
      <c r="K488" s="368"/>
    </row>
    <row r="489" spans="1:11" ht="15">
      <c r="A489" s="341"/>
      <c r="B489" s="365"/>
      <c r="C489" s="365"/>
      <c r="D489" s="366"/>
      <c r="E489" s="366"/>
      <c r="F489" s="367"/>
      <c r="G489" s="367"/>
      <c r="H489" s="366"/>
      <c r="I489" s="366"/>
      <c r="J489" s="368"/>
      <c r="K489" s="368"/>
    </row>
    <row r="490" spans="1:11" ht="15">
      <c r="A490" s="341"/>
      <c r="B490" s="365"/>
      <c r="C490" s="365"/>
      <c r="D490" s="366"/>
      <c r="E490" s="366"/>
      <c r="F490" s="367"/>
      <c r="G490" s="367"/>
      <c r="H490" s="366"/>
      <c r="I490" s="366"/>
      <c r="J490" s="368"/>
      <c r="K490" s="368"/>
    </row>
    <row r="491" spans="1:11" ht="15">
      <c r="A491" s="341"/>
      <c r="B491" s="365"/>
      <c r="C491" s="365"/>
      <c r="D491" s="366"/>
      <c r="E491" s="366"/>
      <c r="F491" s="367"/>
      <c r="G491" s="367"/>
      <c r="H491" s="366"/>
      <c r="I491" s="366"/>
      <c r="J491" s="368"/>
      <c r="K491" s="368"/>
    </row>
    <row r="492" spans="1:11" ht="15">
      <c r="A492" s="341"/>
      <c r="B492" s="365"/>
      <c r="C492" s="365"/>
      <c r="D492" s="366"/>
      <c r="E492" s="366"/>
      <c r="F492" s="367"/>
      <c r="G492" s="367"/>
      <c r="H492" s="366"/>
      <c r="I492" s="366"/>
      <c r="J492" s="368"/>
      <c r="K492" s="368"/>
    </row>
    <row r="493" spans="1:11" ht="15">
      <c r="A493" s="341"/>
      <c r="B493" s="365"/>
      <c r="C493" s="365"/>
      <c r="D493" s="366"/>
      <c r="E493" s="366"/>
      <c r="F493" s="367"/>
      <c r="G493" s="367"/>
      <c r="H493" s="366"/>
      <c r="I493" s="366"/>
      <c r="J493" s="368"/>
      <c r="K493" s="368"/>
    </row>
    <row r="494" spans="1:11" ht="15">
      <c r="A494" s="341"/>
      <c r="B494" s="365"/>
      <c r="C494" s="365"/>
      <c r="D494" s="366"/>
      <c r="E494" s="366"/>
      <c r="F494" s="367"/>
      <c r="G494" s="367"/>
      <c r="H494" s="366"/>
      <c r="I494" s="366"/>
      <c r="J494" s="368"/>
      <c r="K494" s="368"/>
    </row>
    <row r="495" spans="1:11" ht="15">
      <c r="A495" s="341"/>
      <c r="B495" s="365"/>
      <c r="C495" s="365"/>
      <c r="D495" s="366"/>
      <c r="E495" s="366"/>
      <c r="F495" s="367"/>
      <c r="G495" s="367"/>
      <c r="H495" s="366"/>
      <c r="I495" s="366"/>
      <c r="J495" s="368"/>
      <c r="K495" s="368"/>
    </row>
    <row r="496" spans="1:11" ht="15">
      <c r="A496" s="341"/>
      <c r="B496" s="365"/>
      <c r="C496" s="365"/>
      <c r="D496" s="366"/>
      <c r="E496" s="366"/>
      <c r="F496" s="367"/>
      <c r="G496" s="367"/>
      <c r="H496" s="366"/>
      <c r="I496" s="366"/>
      <c r="J496" s="368"/>
      <c r="K496" s="368"/>
    </row>
    <row r="497" spans="1:11" ht="15">
      <c r="A497" s="341"/>
      <c r="B497" s="365"/>
      <c r="C497" s="365"/>
      <c r="D497" s="366"/>
      <c r="E497" s="366"/>
      <c r="F497" s="367"/>
      <c r="G497" s="367"/>
      <c r="H497" s="366"/>
      <c r="I497" s="366"/>
      <c r="J497" s="368"/>
      <c r="K497" s="368"/>
    </row>
    <row r="498" spans="1:11" ht="15">
      <c r="A498" s="341"/>
      <c r="B498" s="365"/>
      <c r="C498" s="365"/>
      <c r="D498" s="366"/>
      <c r="E498" s="366"/>
      <c r="F498" s="367"/>
      <c r="G498" s="367"/>
      <c r="H498" s="366"/>
      <c r="I498" s="366"/>
      <c r="J498" s="368"/>
      <c r="K498" s="368"/>
    </row>
    <row r="499" spans="1:11" ht="15">
      <c r="A499" s="341"/>
      <c r="B499" s="365"/>
      <c r="C499" s="365"/>
      <c r="D499" s="366"/>
      <c r="E499" s="366"/>
      <c r="F499" s="367"/>
      <c r="G499" s="367"/>
      <c r="H499" s="366"/>
      <c r="I499" s="366"/>
      <c r="J499" s="368"/>
      <c r="K499" s="368"/>
    </row>
    <row r="500" spans="1:11" ht="15">
      <c r="A500" s="341"/>
      <c r="B500" s="365"/>
      <c r="C500" s="365"/>
      <c r="D500" s="366"/>
      <c r="E500" s="366"/>
      <c r="F500" s="367"/>
      <c r="G500" s="367"/>
      <c r="H500" s="366"/>
      <c r="I500" s="366"/>
      <c r="J500" s="368"/>
      <c r="K500" s="368"/>
    </row>
    <row r="501" spans="1:11" ht="15">
      <c r="A501" s="341"/>
      <c r="B501" s="365"/>
      <c r="C501" s="365"/>
      <c r="D501" s="366"/>
      <c r="E501" s="366"/>
      <c r="F501" s="367"/>
      <c r="G501" s="367"/>
      <c r="H501" s="366"/>
      <c r="I501" s="366"/>
      <c r="J501" s="368"/>
      <c r="K501" s="368"/>
    </row>
    <row r="502" spans="1:11" ht="15">
      <c r="A502" s="341"/>
      <c r="B502" s="365"/>
      <c r="C502" s="365"/>
      <c r="D502" s="366"/>
      <c r="E502" s="366"/>
      <c r="F502" s="367"/>
      <c r="G502" s="367"/>
      <c r="H502" s="366"/>
      <c r="I502" s="366"/>
      <c r="J502" s="368"/>
      <c r="K502" s="368"/>
    </row>
    <row r="503" spans="1:11" ht="15">
      <c r="A503" s="341"/>
      <c r="B503" s="365"/>
      <c r="C503" s="365"/>
      <c r="D503" s="366"/>
      <c r="E503" s="366"/>
      <c r="F503" s="367"/>
      <c r="G503" s="367"/>
      <c r="H503" s="366"/>
      <c r="I503" s="366"/>
      <c r="J503" s="368"/>
      <c r="K503" s="368"/>
    </row>
    <row r="504" spans="1:11" ht="15">
      <c r="A504" s="341"/>
      <c r="B504" s="365"/>
      <c r="C504" s="365"/>
      <c r="D504" s="366"/>
      <c r="E504" s="366"/>
      <c r="F504" s="367"/>
      <c r="G504" s="367"/>
      <c r="H504" s="366"/>
      <c r="I504" s="366"/>
      <c r="J504" s="368"/>
      <c r="K504" s="368"/>
    </row>
    <row r="505" spans="1:11" ht="15">
      <c r="A505" s="341"/>
      <c r="B505" s="365"/>
      <c r="C505" s="365"/>
      <c r="D505" s="366"/>
      <c r="E505" s="366"/>
      <c r="F505" s="367"/>
      <c r="G505" s="367"/>
      <c r="H505" s="366"/>
      <c r="I505" s="366"/>
      <c r="J505" s="368"/>
      <c r="K505" s="368"/>
    </row>
    <row r="506" spans="1:11" ht="15">
      <c r="A506" s="341"/>
      <c r="B506" s="365"/>
      <c r="C506" s="365"/>
      <c r="D506" s="366"/>
      <c r="E506" s="366"/>
      <c r="F506" s="367"/>
      <c r="G506" s="367"/>
      <c r="H506" s="366"/>
      <c r="I506" s="366"/>
      <c r="J506" s="368"/>
      <c r="K506" s="368"/>
    </row>
    <row r="507" spans="1:11" ht="15">
      <c r="A507" s="341"/>
      <c r="B507" s="365"/>
      <c r="C507" s="365"/>
      <c r="D507" s="366"/>
      <c r="E507" s="366"/>
      <c r="F507" s="367"/>
      <c r="G507" s="367"/>
      <c r="H507" s="366"/>
      <c r="I507" s="366"/>
      <c r="J507" s="368"/>
      <c r="K507" s="368"/>
    </row>
    <row r="508" spans="1:11" ht="15">
      <c r="A508" s="341"/>
      <c r="B508" s="365"/>
      <c r="C508" s="365"/>
      <c r="D508" s="366"/>
      <c r="E508" s="366"/>
      <c r="F508" s="367"/>
      <c r="G508" s="367"/>
      <c r="H508" s="366"/>
      <c r="I508" s="366"/>
      <c r="J508" s="368"/>
      <c r="K508" s="368"/>
    </row>
    <row r="509" spans="1:11" ht="15">
      <c r="A509" s="341"/>
      <c r="B509" s="365"/>
      <c r="C509" s="365"/>
      <c r="D509" s="366"/>
      <c r="E509" s="366"/>
      <c r="F509" s="367"/>
      <c r="G509" s="367"/>
      <c r="H509" s="366"/>
      <c r="I509" s="366"/>
      <c r="J509" s="368"/>
      <c r="K509" s="368"/>
    </row>
    <row r="510" spans="1:11" ht="15">
      <c r="A510" s="341"/>
      <c r="B510" s="365"/>
      <c r="C510" s="365"/>
      <c r="D510" s="366"/>
      <c r="E510" s="366"/>
      <c r="F510" s="367"/>
      <c r="G510" s="367"/>
      <c r="H510" s="366"/>
      <c r="I510" s="366"/>
      <c r="J510" s="368"/>
      <c r="K510" s="368"/>
    </row>
    <row r="511" spans="1:11" ht="15">
      <c r="A511" s="341"/>
      <c r="B511" s="365"/>
      <c r="C511" s="365"/>
      <c r="D511" s="366"/>
      <c r="E511" s="366"/>
      <c r="F511" s="367"/>
      <c r="G511" s="367"/>
      <c r="H511" s="366"/>
      <c r="I511" s="366"/>
      <c r="J511" s="368"/>
      <c r="K511" s="368"/>
    </row>
    <row r="512" spans="1:11" ht="15">
      <c r="A512" s="341"/>
      <c r="B512" s="365"/>
      <c r="C512" s="365"/>
      <c r="D512" s="366"/>
      <c r="E512" s="366"/>
      <c r="F512" s="367"/>
      <c r="G512" s="367"/>
      <c r="H512" s="366"/>
      <c r="I512" s="366"/>
      <c r="J512" s="368"/>
      <c r="K512" s="368"/>
    </row>
    <row r="513" spans="1:11" ht="15">
      <c r="A513" s="341"/>
      <c r="B513" s="365"/>
      <c r="C513" s="365"/>
      <c r="D513" s="366"/>
      <c r="E513" s="366"/>
      <c r="F513" s="367"/>
      <c r="G513" s="367"/>
      <c r="H513" s="366"/>
      <c r="I513" s="366"/>
      <c r="J513" s="368"/>
      <c r="K513" s="368"/>
    </row>
    <row r="514" spans="1:11" ht="15">
      <c r="A514" s="341"/>
      <c r="B514" s="365"/>
      <c r="C514" s="365"/>
      <c r="D514" s="366"/>
      <c r="E514" s="366"/>
      <c r="F514" s="367"/>
      <c r="G514" s="367"/>
      <c r="H514" s="366"/>
      <c r="I514" s="366"/>
      <c r="J514" s="368"/>
      <c r="K514" s="368"/>
    </row>
    <row r="515" spans="1:11" ht="15">
      <c r="A515" s="341"/>
      <c r="B515" s="365"/>
      <c r="C515" s="365"/>
      <c r="D515" s="366"/>
      <c r="E515" s="366"/>
      <c r="F515" s="367"/>
      <c r="G515" s="367"/>
      <c r="H515" s="366"/>
      <c r="I515" s="366"/>
      <c r="J515" s="368"/>
      <c r="K515" s="368"/>
    </row>
    <row r="516" spans="1:11" ht="15">
      <c r="A516" s="341"/>
      <c r="B516" s="365"/>
      <c r="C516" s="365"/>
      <c r="D516" s="366"/>
      <c r="E516" s="366"/>
      <c r="F516" s="367"/>
      <c r="G516" s="367"/>
      <c r="H516" s="366"/>
      <c r="I516" s="366"/>
      <c r="J516" s="368"/>
      <c r="K516" s="368"/>
    </row>
    <row r="517" spans="1:11" ht="15">
      <c r="A517" s="341"/>
      <c r="B517" s="365"/>
      <c r="C517" s="365"/>
      <c r="D517" s="366"/>
      <c r="E517" s="366"/>
      <c r="F517" s="367"/>
      <c r="G517" s="367"/>
      <c r="H517" s="366"/>
      <c r="I517" s="366"/>
      <c r="J517" s="368"/>
      <c r="K517" s="368"/>
    </row>
    <row r="518" spans="1:11" ht="15">
      <c r="A518" s="341"/>
      <c r="B518" s="365"/>
      <c r="C518" s="365"/>
      <c r="D518" s="366"/>
      <c r="E518" s="366"/>
      <c r="F518" s="367"/>
      <c r="G518" s="367"/>
      <c r="H518" s="366"/>
      <c r="I518" s="366"/>
      <c r="J518" s="368"/>
      <c r="K518" s="368"/>
    </row>
    <row r="519" spans="1:11" ht="15">
      <c r="A519" s="341"/>
      <c r="B519" s="365"/>
      <c r="C519" s="365"/>
      <c r="D519" s="366"/>
      <c r="E519" s="366"/>
      <c r="F519" s="367"/>
      <c r="G519" s="367"/>
      <c r="H519" s="366"/>
      <c r="I519" s="366"/>
      <c r="J519" s="368"/>
      <c r="K519" s="368"/>
    </row>
    <row r="520" spans="1:11" ht="15">
      <c r="A520" s="341"/>
      <c r="B520" s="365"/>
      <c r="C520" s="365"/>
      <c r="D520" s="366"/>
      <c r="E520" s="366"/>
      <c r="F520" s="367"/>
      <c r="G520" s="367"/>
      <c r="H520" s="366"/>
      <c r="I520" s="366"/>
      <c r="J520" s="368"/>
      <c r="K520" s="368"/>
    </row>
    <row r="521" spans="1:11" ht="15">
      <c r="A521" s="341"/>
      <c r="B521" s="365"/>
      <c r="C521" s="365"/>
      <c r="D521" s="366"/>
      <c r="E521" s="366"/>
      <c r="F521" s="367"/>
      <c r="G521" s="367"/>
      <c r="H521" s="366"/>
      <c r="I521" s="366"/>
      <c r="J521" s="368"/>
      <c r="K521" s="368"/>
    </row>
    <row r="522" spans="1:11" ht="15">
      <c r="A522" s="341"/>
      <c r="B522" s="365"/>
      <c r="C522" s="365"/>
      <c r="D522" s="366"/>
      <c r="E522" s="366"/>
      <c r="F522" s="367"/>
      <c r="G522" s="367"/>
      <c r="H522" s="366"/>
      <c r="I522" s="366"/>
      <c r="J522" s="368"/>
      <c r="K522" s="368"/>
    </row>
    <row r="523" spans="1:11" ht="15">
      <c r="A523" s="341"/>
      <c r="B523" s="365"/>
      <c r="C523" s="365"/>
      <c r="D523" s="366"/>
      <c r="E523" s="366"/>
      <c r="F523" s="367"/>
      <c r="G523" s="367"/>
      <c r="H523" s="366"/>
      <c r="I523" s="366"/>
      <c r="J523" s="368"/>
      <c r="K523" s="368"/>
    </row>
    <row r="524" spans="1:11" ht="15">
      <c r="A524" s="341"/>
      <c r="B524" s="365"/>
      <c r="C524" s="365"/>
      <c r="D524" s="366"/>
      <c r="E524" s="366"/>
      <c r="F524" s="367"/>
      <c r="G524" s="367"/>
      <c r="H524" s="366"/>
      <c r="I524" s="366"/>
      <c r="J524" s="368"/>
      <c r="K524" s="368"/>
    </row>
    <row r="525" spans="1:11" ht="15">
      <c r="A525" s="341"/>
      <c r="B525" s="365"/>
      <c r="C525" s="365"/>
      <c r="D525" s="366"/>
      <c r="E525" s="366"/>
      <c r="F525" s="367"/>
      <c r="G525" s="367"/>
      <c r="H525" s="366"/>
      <c r="I525" s="366"/>
      <c r="J525" s="368"/>
      <c r="K525" s="368"/>
    </row>
    <row r="526" spans="1:11" ht="15">
      <c r="A526" s="341"/>
      <c r="B526" s="365"/>
      <c r="C526" s="365"/>
      <c r="D526" s="366"/>
      <c r="E526" s="366"/>
      <c r="F526" s="367"/>
      <c r="G526" s="367"/>
      <c r="H526" s="366"/>
      <c r="I526" s="366"/>
      <c r="J526" s="368"/>
      <c r="K526" s="368"/>
    </row>
    <row r="527" spans="1:11" ht="15">
      <c r="A527" s="341"/>
      <c r="B527" s="365"/>
      <c r="C527" s="365"/>
      <c r="D527" s="366"/>
      <c r="E527" s="366"/>
      <c r="F527" s="367"/>
      <c r="G527" s="367"/>
      <c r="H527" s="366"/>
      <c r="I527" s="366"/>
      <c r="J527" s="368"/>
      <c r="K527" s="368"/>
    </row>
    <row r="528" spans="1:11" ht="15">
      <c r="A528" s="341"/>
      <c r="B528" s="365"/>
      <c r="C528" s="365"/>
      <c r="D528" s="366"/>
      <c r="E528" s="366"/>
      <c r="F528" s="367"/>
      <c r="G528" s="367"/>
      <c r="H528" s="366"/>
      <c r="I528" s="366"/>
      <c r="J528" s="368"/>
      <c r="K528" s="368"/>
    </row>
    <row r="529" spans="1:11" ht="15">
      <c r="A529" s="341"/>
      <c r="B529" s="365"/>
      <c r="C529" s="365"/>
      <c r="D529" s="366"/>
      <c r="E529" s="366"/>
      <c r="F529" s="367"/>
      <c r="G529" s="367"/>
      <c r="H529" s="366"/>
      <c r="I529" s="366"/>
      <c r="J529" s="368"/>
      <c r="K529" s="368"/>
    </row>
    <row r="530" spans="1:11" ht="15">
      <c r="A530" s="341"/>
      <c r="B530" s="365"/>
      <c r="C530" s="365"/>
      <c r="D530" s="366"/>
      <c r="E530" s="366"/>
      <c r="F530" s="367"/>
      <c r="G530" s="367"/>
      <c r="H530" s="366"/>
      <c r="I530" s="366"/>
      <c r="J530" s="368"/>
      <c r="K530" s="368"/>
    </row>
    <row r="531" spans="1:11" ht="15">
      <c r="A531" s="341"/>
      <c r="B531" s="365"/>
      <c r="C531" s="365"/>
      <c r="D531" s="366"/>
      <c r="E531" s="366"/>
      <c r="F531" s="367"/>
      <c r="G531" s="367"/>
      <c r="H531" s="366"/>
      <c r="I531" s="366"/>
      <c r="J531" s="368"/>
      <c r="K531" s="368"/>
    </row>
    <row r="532" spans="1:11" ht="15">
      <c r="A532" s="341"/>
      <c r="B532" s="365"/>
      <c r="C532" s="365"/>
      <c r="D532" s="366"/>
      <c r="E532" s="366"/>
      <c r="F532" s="367"/>
      <c r="G532" s="367"/>
      <c r="H532" s="366"/>
      <c r="I532" s="366"/>
      <c r="J532" s="368"/>
      <c r="K532" s="368"/>
    </row>
    <row r="533" spans="1:11" ht="15">
      <c r="A533" s="341"/>
      <c r="B533" s="365"/>
      <c r="C533" s="365"/>
      <c r="D533" s="366"/>
      <c r="E533" s="366"/>
      <c r="F533" s="367"/>
      <c r="G533" s="367"/>
      <c r="H533" s="366"/>
      <c r="I533" s="366"/>
      <c r="J533" s="368"/>
      <c r="K533" s="368"/>
    </row>
    <row r="534" spans="1:11" ht="15">
      <c r="A534" s="341"/>
      <c r="B534" s="365"/>
      <c r="C534" s="365"/>
      <c r="D534" s="366"/>
      <c r="E534" s="366"/>
      <c r="F534" s="367"/>
      <c r="G534" s="367"/>
      <c r="H534" s="366"/>
      <c r="I534" s="366"/>
      <c r="J534" s="368"/>
      <c r="K534" s="368"/>
    </row>
    <row r="535" spans="1:11" ht="15">
      <c r="A535" s="341"/>
      <c r="B535" s="365"/>
      <c r="C535" s="365"/>
      <c r="D535" s="366"/>
      <c r="E535" s="366"/>
      <c r="F535" s="367"/>
      <c r="G535" s="367"/>
      <c r="H535" s="366"/>
      <c r="I535" s="366"/>
      <c r="J535" s="368"/>
      <c r="K535" s="368"/>
    </row>
    <row r="536" spans="1:11" ht="15">
      <c r="A536" s="341"/>
      <c r="B536" s="365"/>
      <c r="C536" s="365"/>
      <c r="D536" s="366"/>
      <c r="E536" s="366"/>
      <c r="F536" s="367"/>
      <c r="G536" s="367"/>
      <c r="H536" s="366"/>
      <c r="I536" s="366"/>
      <c r="J536" s="368"/>
      <c r="K536" s="368"/>
    </row>
    <row r="537" spans="1:11" ht="15">
      <c r="A537" s="341"/>
      <c r="B537" s="365"/>
      <c r="C537" s="365"/>
      <c r="D537" s="366"/>
      <c r="E537" s="366"/>
      <c r="F537" s="367"/>
      <c r="G537" s="367"/>
      <c r="H537" s="366"/>
      <c r="I537" s="366"/>
      <c r="J537" s="368"/>
      <c r="K537" s="368"/>
    </row>
    <row r="538" spans="1:11" ht="15">
      <c r="A538" s="341"/>
      <c r="B538" s="365"/>
      <c r="C538" s="365"/>
      <c r="D538" s="366"/>
      <c r="E538" s="366"/>
      <c r="F538" s="367"/>
      <c r="G538" s="367"/>
      <c r="H538" s="366"/>
      <c r="I538" s="366"/>
      <c r="J538" s="368"/>
      <c r="K538" s="368"/>
    </row>
    <row r="539" spans="1:11" ht="15">
      <c r="A539" s="341"/>
      <c r="B539" s="365"/>
      <c r="C539" s="365"/>
      <c r="D539" s="366"/>
      <c r="E539" s="366"/>
      <c r="F539" s="367"/>
      <c r="G539" s="367"/>
      <c r="H539" s="366"/>
      <c r="I539" s="366"/>
      <c r="J539" s="368"/>
      <c r="K539" s="368"/>
    </row>
    <row r="540" spans="1:11" ht="15">
      <c r="A540" s="341"/>
      <c r="B540" s="365"/>
      <c r="C540" s="365"/>
      <c r="D540" s="366"/>
      <c r="E540" s="366"/>
      <c r="F540" s="367"/>
      <c r="G540" s="367"/>
      <c r="H540" s="366"/>
      <c r="I540" s="366"/>
      <c r="J540" s="368"/>
      <c r="K540" s="368"/>
    </row>
    <row r="541" spans="1:11" ht="15">
      <c r="A541" s="341"/>
      <c r="B541" s="365"/>
      <c r="C541" s="365"/>
      <c r="D541" s="366"/>
      <c r="E541" s="366"/>
      <c r="F541" s="367"/>
      <c r="G541" s="367"/>
      <c r="H541" s="366"/>
      <c r="I541" s="366"/>
      <c r="J541" s="368"/>
      <c r="K541" s="368"/>
    </row>
    <row r="542" spans="1:11" ht="15">
      <c r="A542" s="341"/>
      <c r="B542" s="365"/>
      <c r="C542" s="365"/>
      <c r="D542" s="366"/>
      <c r="E542" s="366"/>
      <c r="F542" s="367"/>
      <c r="G542" s="367"/>
      <c r="H542" s="366"/>
      <c r="I542" s="366"/>
      <c r="J542" s="368"/>
      <c r="K542" s="368"/>
    </row>
    <row r="543" spans="1:11" ht="15">
      <c r="A543" s="341"/>
      <c r="B543" s="365"/>
      <c r="C543" s="365"/>
      <c r="D543" s="366"/>
      <c r="E543" s="366"/>
      <c r="F543" s="367"/>
      <c r="G543" s="367"/>
      <c r="H543" s="366"/>
      <c r="I543" s="366"/>
      <c r="J543" s="368"/>
      <c r="K543" s="368"/>
    </row>
    <row r="544" spans="1:11" ht="15">
      <c r="A544" s="341"/>
      <c r="B544" s="365"/>
      <c r="C544" s="365"/>
      <c r="D544" s="366"/>
      <c r="E544" s="366"/>
      <c r="F544" s="367"/>
      <c r="G544" s="367"/>
      <c r="H544" s="366"/>
      <c r="I544" s="366"/>
      <c r="J544" s="368"/>
      <c r="K544" s="368"/>
    </row>
    <row r="545" spans="1:11" ht="15">
      <c r="A545" s="341"/>
      <c r="B545" s="365"/>
      <c r="C545" s="365"/>
      <c r="D545" s="366"/>
      <c r="E545" s="366"/>
      <c r="F545" s="367"/>
      <c r="G545" s="367"/>
      <c r="H545" s="366"/>
      <c r="I545" s="366"/>
      <c r="J545" s="368"/>
      <c r="K545" s="368"/>
    </row>
    <row r="546" spans="1:11" ht="15">
      <c r="A546" s="341"/>
      <c r="B546" s="365"/>
      <c r="C546" s="365"/>
      <c r="D546" s="366"/>
      <c r="E546" s="366"/>
      <c r="F546" s="367"/>
      <c r="G546" s="367"/>
      <c r="H546" s="366"/>
      <c r="I546" s="366"/>
      <c r="J546" s="368"/>
      <c r="K546" s="368"/>
    </row>
    <row r="547" spans="1:11" ht="15">
      <c r="A547" s="341"/>
      <c r="B547" s="365"/>
      <c r="C547" s="365"/>
      <c r="D547" s="366"/>
      <c r="E547" s="366"/>
      <c r="F547" s="367"/>
      <c r="G547" s="367"/>
      <c r="H547" s="366"/>
      <c r="I547" s="366"/>
      <c r="J547" s="368"/>
      <c r="K547" s="368"/>
    </row>
    <row r="548" spans="1:11" ht="15">
      <c r="A548" s="341"/>
      <c r="B548" s="365"/>
      <c r="C548" s="365"/>
      <c r="D548" s="366"/>
      <c r="E548" s="366"/>
      <c r="F548" s="367"/>
      <c r="G548" s="367"/>
      <c r="H548" s="366"/>
      <c r="I548" s="366"/>
      <c r="J548" s="368"/>
      <c r="K548" s="368"/>
    </row>
    <row r="549" spans="1:11" ht="15">
      <c r="A549" s="341"/>
      <c r="B549" s="365"/>
      <c r="C549" s="365"/>
      <c r="D549" s="366"/>
      <c r="E549" s="366"/>
      <c r="F549" s="367"/>
      <c r="G549" s="367"/>
      <c r="H549" s="366"/>
      <c r="I549" s="366"/>
      <c r="J549" s="368"/>
      <c r="K549" s="368"/>
    </row>
    <row r="550" spans="1:11" ht="15">
      <c r="A550" s="341"/>
      <c r="B550" s="365"/>
      <c r="C550" s="365"/>
      <c r="D550" s="366"/>
      <c r="E550" s="366"/>
      <c r="F550" s="367"/>
      <c r="G550" s="367"/>
      <c r="H550" s="366"/>
      <c r="I550" s="366"/>
      <c r="J550" s="368"/>
      <c r="K550" s="368"/>
    </row>
    <row r="551" spans="1:11" ht="15">
      <c r="A551" s="341"/>
      <c r="B551" s="365"/>
      <c r="C551" s="365"/>
      <c r="D551" s="366"/>
      <c r="E551" s="366"/>
      <c r="F551" s="367"/>
      <c r="G551" s="367"/>
      <c r="H551" s="366"/>
      <c r="I551" s="366"/>
      <c r="J551" s="368"/>
      <c r="K551" s="368"/>
    </row>
    <row r="552" spans="1:11" ht="15">
      <c r="A552" s="341"/>
      <c r="B552" s="365"/>
      <c r="C552" s="365"/>
      <c r="D552" s="366"/>
      <c r="E552" s="366"/>
      <c r="F552" s="367"/>
      <c r="G552" s="367"/>
      <c r="H552" s="366"/>
      <c r="I552" s="366"/>
      <c r="J552" s="368"/>
      <c r="K552" s="368"/>
    </row>
    <row r="553" spans="1:11" ht="15">
      <c r="A553" s="341"/>
      <c r="B553" s="365"/>
      <c r="C553" s="365"/>
      <c r="D553" s="366"/>
      <c r="E553" s="366"/>
      <c r="F553" s="367"/>
      <c r="G553" s="367"/>
      <c r="H553" s="366"/>
      <c r="I553" s="366"/>
      <c r="J553" s="368"/>
      <c r="K553" s="368"/>
    </row>
    <row r="554" spans="1:11" ht="15">
      <c r="A554" s="341"/>
      <c r="B554" s="365"/>
      <c r="C554" s="365"/>
      <c r="D554" s="366"/>
      <c r="E554" s="366"/>
      <c r="F554" s="367"/>
      <c r="G554" s="367"/>
      <c r="H554" s="366"/>
      <c r="I554" s="366"/>
      <c r="J554" s="368"/>
      <c r="K554" s="368"/>
    </row>
    <row r="555" spans="1:11" ht="15">
      <c r="A555" s="341"/>
      <c r="B555" s="365"/>
      <c r="C555" s="365"/>
      <c r="D555" s="366"/>
      <c r="E555" s="366"/>
      <c r="F555" s="367"/>
      <c r="G555" s="367"/>
      <c r="H555" s="366"/>
      <c r="I555" s="366"/>
      <c r="J555" s="368"/>
      <c r="K555" s="368"/>
    </row>
    <row r="556" spans="1:11" ht="15">
      <c r="A556" s="341"/>
      <c r="B556" s="365"/>
      <c r="C556" s="365"/>
      <c r="D556" s="366"/>
      <c r="E556" s="366"/>
      <c r="F556" s="367"/>
      <c r="G556" s="367"/>
      <c r="H556" s="366"/>
      <c r="I556" s="366"/>
      <c r="J556" s="368"/>
      <c r="K556" s="368"/>
    </row>
    <row r="557" spans="1:11" ht="15">
      <c r="A557" s="341"/>
      <c r="B557" s="365"/>
      <c r="C557" s="365"/>
      <c r="D557" s="366"/>
      <c r="E557" s="366"/>
      <c r="F557" s="367"/>
      <c r="G557" s="367"/>
      <c r="H557" s="366"/>
      <c r="I557" s="366"/>
      <c r="J557" s="368"/>
      <c r="K557" s="368"/>
    </row>
    <row r="558" spans="1:11" ht="15">
      <c r="A558" s="341"/>
      <c r="B558" s="365"/>
      <c r="C558" s="365"/>
      <c r="D558" s="366"/>
      <c r="E558" s="366"/>
      <c r="F558" s="367"/>
      <c r="G558" s="367"/>
      <c r="H558" s="366"/>
      <c r="I558" s="366"/>
      <c r="J558" s="368"/>
      <c r="K558" s="368"/>
    </row>
    <row r="559" spans="1:11" ht="15">
      <c r="A559" s="341"/>
      <c r="B559" s="365"/>
      <c r="C559" s="365"/>
      <c r="D559" s="366"/>
      <c r="E559" s="366"/>
      <c r="F559" s="367"/>
      <c r="G559" s="367"/>
      <c r="H559" s="366"/>
      <c r="I559" s="366"/>
      <c r="J559" s="368"/>
      <c r="K559" s="368"/>
    </row>
    <row r="560" spans="1:11" ht="15">
      <c r="A560" s="341"/>
      <c r="B560" s="365"/>
      <c r="C560" s="365"/>
      <c r="D560" s="366"/>
      <c r="E560" s="366"/>
      <c r="F560" s="367"/>
      <c r="G560" s="367"/>
      <c r="H560" s="366"/>
      <c r="I560" s="366"/>
      <c r="J560" s="368"/>
      <c r="K560" s="368"/>
    </row>
    <row r="561" spans="1:11" ht="15">
      <c r="A561" s="341"/>
      <c r="B561" s="365"/>
      <c r="C561" s="365"/>
      <c r="D561" s="366"/>
      <c r="E561" s="366"/>
      <c r="F561" s="367"/>
      <c r="G561" s="367"/>
      <c r="H561" s="366"/>
      <c r="I561" s="366"/>
      <c r="J561" s="368"/>
      <c r="K561" s="368"/>
    </row>
    <row r="562" spans="1:11" ht="15">
      <c r="A562" s="341"/>
      <c r="B562" s="365"/>
      <c r="C562" s="365"/>
      <c r="D562" s="366"/>
      <c r="E562" s="366"/>
      <c r="F562" s="367"/>
      <c r="G562" s="367"/>
      <c r="H562" s="366"/>
      <c r="I562" s="366"/>
      <c r="J562" s="368"/>
      <c r="K562" s="368"/>
    </row>
    <row r="563" spans="1:11" ht="15">
      <c r="A563" s="341"/>
      <c r="B563" s="365"/>
      <c r="C563" s="365"/>
      <c r="D563" s="366"/>
      <c r="E563" s="366"/>
      <c r="F563" s="367"/>
      <c r="G563" s="367"/>
      <c r="H563" s="366"/>
      <c r="I563" s="366"/>
      <c r="J563" s="368"/>
      <c r="K563" s="368"/>
    </row>
    <row r="564" spans="1:11" ht="15">
      <c r="A564" s="341"/>
      <c r="B564" s="365"/>
      <c r="C564" s="365"/>
      <c r="D564" s="366"/>
      <c r="E564" s="366"/>
      <c r="F564" s="367"/>
      <c r="G564" s="367"/>
      <c r="H564" s="366"/>
      <c r="I564" s="366"/>
      <c r="J564" s="368"/>
      <c r="K564" s="368"/>
    </row>
    <row r="565" spans="1:11" ht="15">
      <c r="A565" s="341"/>
      <c r="B565" s="365"/>
      <c r="C565" s="365"/>
      <c r="D565" s="366"/>
      <c r="E565" s="366"/>
      <c r="F565" s="367"/>
      <c r="G565" s="367"/>
      <c r="H565" s="366"/>
      <c r="I565" s="366"/>
      <c r="J565" s="368"/>
      <c r="K565" s="368"/>
    </row>
    <row r="566" spans="1:11" ht="15">
      <c r="A566" s="341"/>
      <c r="B566" s="365"/>
      <c r="C566" s="365"/>
      <c r="D566" s="366"/>
      <c r="E566" s="366"/>
      <c r="F566" s="367"/>
      <c r="G566" s="367"/>
      <c r="H566" s="366"/>
      <c r="I566" s="366"/>
      <c r="J566" s="368"/>
      <c r="K566" s="368"/>
    </row>
    <row r="567" spans="1:11" ht="15">
      <c r="A567" s="341"/>
      <c r="B567" s="365"/>
      <c r="C567" s="365"/>
      <c r="D567" s="366"/>
      <c r="E567" s="366"/>
      <c r="F567" s="367"/>
      <c r="G567" s="367"/>
      <c r="H567" s="366"/>
      <c r="I567" s="366"/>
      <c r="J567" s="368"/>
      <c r="K567" s="368"/>
    </row>
    <row r="568" spans="1:11" ht="15">
      <c r="A568" s="341"/>
      <c r="B568" s="365"/>
      <c r="C568" s="365"/>
      <c r="D568" s="366"/>
      <c r="E568" s="366"/>
      <c r="F568" s="367"/>
      <c r="G568" s="367"/>
      <c r="H568" s="366"/>
      <c r="I568" s="366"/>
      <c r="J568" s="368"/>
      <c r="K568" s="368"/>
    </row>
    <row r="569" spans="1:11" ht="15">
      <c r="A569" s="341"/>
      <c r="B569" s="365"/>
      <c r="C569" s="365"/>
      <c r="D569" s="366"/>
      <c r="E569" s="366"/>
      <c r="F569" s="367"/>
      <c r="G569" s="367"/>
      <c r="H569" s="366"/>
      <c r="I569" s="366"/>
      <c r="J569" s="368"/>
      <c r="K569" s="368"/>
    </row>
    <row r="570" spans="1:11" ht="15">
      <c r="A570" s="341"/>
      <c r="B570" s="365"/>
      <c r="C570" s="365"/>
      <c r="D570" s="366"/>
      <c r="E570" s="366"/>
      <c r="F570" s="367"/>
      <c r="G570" s="367"/>
      <c r="H570" s="366"/>
      <c r="I570" s="366"/>
      <c r="J570" s="368"/>
      <c r="K570" s="368"/>
    </row>
    <row r="571" spans="1:11" ht="15">
      <c r="A571" s="341"/>
      <c r="B571" s="365"/>
      <c r="C571" s="365"/>
      <c r="D571" s="366"/>
      <c r="E571" s="366"/>
      <c r="F571" s="367"/>
      <c r="G571" s="367"/>
      <c r="H571" s="366"/>
      <c r="I571" s="366"/>
      <c r="J571" s="368"/>
      <c r="K571" s="368"/>
    </row>
    <row r="572" spans="1:11" ht="15">
      <c r="A572" s="341"/>
      <c r="B572" s="365"/>
      <c r="C572" s="365"/>
      <c r="D572" s="366"/>
      <c r="E572" s="366"/>
      <c r="F572" s="367"/>
      <c r="G572" s="367"/>
      <c r="H572" s="366"/>
      <c r="I572" s="366"/>
      <c r="J572" s="368"/>
      <c r="K572" s="368"/>
    </row>
    <row r="573" spans="1:11" ht="15">
      <c r="A573" s="341"/>
      <c r="B573" s="365"/>
      <c r="C573" s="365"/>
      <c r="D573" s="366"/>
      <c r="E573" s="366"/>
      <c r="F573" s="367"/>
      <c r="G573" s="367"/>
      <c r="H573" s="366"/>
      <c r="I573" s="366"/>
      <c r="J573" s="368"/>
      <c r="K573" s="368"/>
    </row>
    <row r="574" spans="1:11" ht="15">
      <c r="A574" s="341"/>
      <c r="B574" s="365"/>
      <c r="C574" s="365"/>
      <c r="D574" s="366"/>
      <c r="E574" s="366"/>
      <c r="F574" s="367"/>
      <c r="G574" s="367"/>
      <c r="H574" s="366"/>
      <c r="I574" s="366"/>
      <c r="J574" s="368"/>
      <c r="K574" s="368"/>
    </row>
    <row r="575" spans="1:11" ht="15">
      <c r="A575" s="341"/>
      <c r="B575" s="365"/>
      <c r="C575" s="365"/>
      <c r="D575" s="366"/>
      <c r="E575" s="366"/>
      <c r="F575" s="367"/>
      <c r="G575" s="367"/>
      <c r="H575" s="366"/>
      <c r="I575" s="366"/>
      <c r="J575" s="368"/>
      <c r="K575" s="368"/>
    </row>
    <row r="576" spans="1:11" ht="15">
      <c r="A576" s="341"/>
      <c r="B576" s="365"/>
      <c r="C576" s="365"/>
      <c r="D576" s="366"/>
      <c r="E576" s="366"/>
      <c r="F576" s="367"/>
      <c r="G576" s="367"/>
      <c r="H576" s="366"/>
      <c r="I576" s="366"/>
      <c r="J576" s="368"/>
      <c r="K576" s="368"/>
    </row>
    <row r="577" spans="1:11" ht="15">
      <c r="A577" s="341"/>
      <c r="B577" s="365"/>
      <c r="C577" s="365"/>
      <c r="D577" s="366"/>
      <c r="E577" s="366"/>
      <c r="F577" s="367"/>
      <c r="G577" s="367"/>
      <c r="H577" s="366"/>
      <c r="I577" s="366"/>
      <c r="J577" s="368"/>
      <c r="K577" s="368"/>
    </row>
    <row r="578" spans="1:11" ht="15">
      <c r="A578" s="341"/>
      <c r="B578" s="365"/>
      <c r="C578" s="365"/>
      <c r="D578" s="366"/>
      <c r="E578" s="366"/>
      <c r="F578" s="367"/>
      <c r="G578" s="367"/>
      <c r="H578" s="366"/>
      <c r="I578" s="366"/>
      <c r="J578" s="368"/>
      <c r="K578" s="368"/>
    </row>
    <row r="579" spans="1:11" ht="15">
      <c r="A579" s="341"/>
      <c r="B579" s="365"/>
      <c r="C579" s="365"/>
      <c r="D579" s="366"/>
      <c r="E579" s="366"/>
      <c r="F579" s="367"/>
      <c r="G579" s="367"/>
      <c r="H579" s="366"/>
      <c r="I579" s="366"/>
      <c r="J579" s="368"/>
      <c r="K579" s="368"/>
    </row>
    <row r="580" spans="1:11" ht="15">
      <c r="A580" s="341"/>
      <c r="B580" s="365"/>
      <c r="C580" s="365"/>
      <c r="D580" s="366"/>
      <c r="E580" s="366"/>
      <c r="F580" s="367"/>
      <c r="G580" s="367"/>
      <c r="H580" s="366"/>
      <c r="I580" s="366"/>
      <c r="J580" s="368"/>
      <c r="K580" s="368"/>
    </row>
    <row r="581" spans="1:11" ht="15">
      <c r="A581" s="341"/>
      <c r="B581" s="365"/>
      <c r="C581" s="365"/>
      <c r="D581" s="366"/>
      <c r="E581" s="366"/>
      <c r="F581" s="367"/>
      <c r="G581" s="367"/>
      <c r="H581" s="366"/>
      <c r="I581" s="366"/>
      <c r="J581" s="368"/>
      <c r="K581" s="368"/>
    </row>
    <row r="582" spans="1:11" ht="15">
      <c r="A582" s="341"/>
      <c r="B582" s="365"/>
      <c r="C582" s="365"/>
      <c r="D582" s="366"/>
      <c r="E582" s="366"/>
      <c r="F582" s="367"/>
      <c r="G582" s="367"/>
      <c r="H582" s="366"/>
      <c r="I582" s="366"/>
      <c r="J582" s="368"/>
      <c r="K582" s="368"/>
    </row>
    <row r="583" spans="1:11" ht="15">
      <c r="A583" s="341"/>
      <c r="B583" s="365"/>
      <c r="C583" s="365"/>
      <c r="D583" s="366"/>
      <c r="E583" s="366"/>
      <c r="F583" s="367"/>
      <c r="G583" s="367"/>
      <c r="H583" s="366"/>
      <c r="I583" s="366"/>
      <c r="J583" s="368"/>
      <c r="K583" s="368"/>
    </row>
    <row r="584" spans="1:11" ht="15">
      <c r="A584" s="341"/>
      <c r="B584" s="365"/>
      <c r="C584" s="365"/>
      <c r="D584" s="366"/>
      <c r="E584" s="366"/>
      <c r="F584" s="367"/>
      <c r="G584" s="367"/>
      <c r="H584" s="366"/>
      <c r="I584" s="366"/>
      <c r="J584" s="368"/>
      <c r="K584" s="368"/>
    </row>
    <row r="585" spans="1:11" ht="15">
      <c r="A585" s="341"/>
      <c r="B585" s="365"/>
      <c r="C585" s="365"/>
      <c r="D585" s="366"/>
      <c r="E585" s="366"/>
      <c r="F585" s="367"/>
      <c r="G585" s="367"/>
      <c r="H585" s="366"/>
      <c r="I585" s="366"/>
      <c r="J585" s="368"/>
      <c r="K585" s="368"/>
    </row>
    <row r="586" spans="1:11" ht="15">
      <c r="A586" s="341"/>
      <c r="B586" s="365"/>
      <c r="C586" s="365"/>
      <c r="D586" s="366"/>
      <c r="E586" s="366"/>
      <c r="F586" s="367"/>
      <c r="G586" s="367"/>
      <c r="H586" s="366"/>
      <c r="I586" s="366"/>
      <c r="J586" s="368"/>
      <c r="K586" s="368"/>
    </row>
    <row r="587" spans="1:11" ht="15">
      <c r="A587" s="341"/>
      <c r="B587" s="365"/>
      <c r="C587" s="365"/>
      <c r="D587" s="366"/>
      <c r="E587" s="366"/>
      <c r="F587" s="367"/>
      <c r="G587" s="367"/>
      <c r="H587" s="366"/>
      <c r="I587" s="366"/>
      <c r="J587" s="368"/>
      <c r="K587" s="368"/>
    </row>
    <row r="588" spans="1:11" ht="15">
      <c r="A588" s="341"/>
      <c r="B588" s="365"/>
      <c r="C588" s="365"/>
      <c r="D588" s="366"/>
      <c r="E588" s="366"/>
      <c r="F588" s="367"/>
      <c r="G588" s="367"/>
      <c r="H588" s="366"/>
      <c r="I588" s="366"/>
      <c r="J588" s="368"/>
      <c r="K588" s="368"/>
    </row>
    <row r="589" spans="1:11" ht="15">
      <c r="A589" s="341"/>
      <c r="B589" s="365"/>
      <c r="C589" s="365"/>
      <c r="D589" s="366"/>
      <c r="E589" s="366"/>
      <c r="F589" s="367"/>
      <c r="G589" s="367"/>
      <c r="H589" s="366"/>
      <c r="I589" s="366"/>
      <c r="J589" s="368"/>
      <c r="K589" s="368"/>
    </row>
    <row r="590" spans="1:11" ht="15">
      <c r="A590" s="341"/>
      <c r="B590" s="365"/>
      <c r="C590" s="365"/>
      <c r="D590" s="366"/>
      <c r="E590" s="366"/>
      <c r="F590" s="367"/>
      <c r="G590" s="367"/>
      <c r="H590" s="366"/>
      <c r="I590" s="366"/>
      <c r="J590" s="368"/>
      <c r="K590" s="368"/>
    </row>
    <row r="591" spans="1:11" ht="15">
      <c r="A591" s="341"/>
      <c r="B591" s="365"/>
      <c r="C591" s="365"/>
      <c r="D591" s="366"/>
      <c r="E591" s="366"/>
      <c r="F591" s="367"/>
      <c r="G591" s="367"/>
      <c r="H591" s="366"/>
      <c r="I591" s="366"/>
      <c r="J591" s="368"/>
      <c r="K591" s="368"/>
    </row>
    <row r="592" spans="1:11" ht="15">
      <c r="A592" s="341"/>
      <c r="B592" s="365"/>
      <c r="C592" s="365"/>
      <c r="D592" s="366"/>
      <c r="E592" s="366"/>
      <c r="F592" s="367"/>
      <c r="G592" s="367"/>
      <c r="H592" s="366"/>
      <c r="I592" s="366"/>
      <c r="J592" s="368"/>
      <c r="K592" s="368"/>
    </row>
    <row r="593" spans="1:11" ht="15">
      <c r="A593" s="341"/>
      <c r="B593" s="365"/>
      <c r="C593" s="365"/>
      <c r="D593" s="366"/>
      <c r="E593" s="366"/>
      <c r="F593" s="367"/>
      <c r="G593" s="367"/>
      <c r="H593" s="366"/>
      <c r="I593" s="366"/>
      <c r="J593" s="368"/>
      <c r="K593" s="368"/>
    </row>
    <row r="594" spans="1:11" ht="15">
      <c r="A594" s="341"/>
      <c r="B594" s="365"/>
      <c r="C594" s="365"/>
      <c r="D594" s="366"/>
      <c r="E594" s="366"/>
      <c r="F594" s="367"/>
      <c r="G594" s="367"/>
      <c r="H594" s="366"/>
      <c r="I594" s="366"/>
      <c r="J594" s="368"/>
      <c r="K594" s="368"/>
    </row>
    <row r="595" spans="1:11" ht="15">
      <c r="A595" s="341"/>
      <c r="B595" s="365"/>
      <c r="C595" s="365"/>
      <c r="D595" s="366"/>
      <c r="E595" s="366"/>
      <c r="F595" s="367"/>
      <c r="G595" s="367"/>
      <c r="H595" s="366"/>
      <c r="I595" s="366"/>
      <c r="J595" s="368"/>
      <c r="K595" s="368"/>
    </row>
    <row r="596" spans="1:11" ht="15">
      <c r="A596" s="341"/>
      <c r="B596" s="365"/>
      <c r="C596" s="365"/>
      <c r="D596" s="366"/>
      <c r="E596" s="366"/>
      <c r="F596" s="367"/>
      <c r="G596" s="367"/>
      <c r="H596" s="366"/>
      <c r="I596" s="366"/>
      <c r="J596" s="368"/>
      <c r="K596" s="368"/>
    </row>
    <row r="597" spans="1:11" ht="15">
      <c r="A597" s="341"/>
      <c r="B597" s="365"/>
      <c r="C597" s="365"/>
      <c r="D597" s="366"/>
      <c r="E597" s="366"/>
      <c r="F597" s="367"/>
      <c r="G597" s="367"/>
      <c r="H597" s="366"/>
      <c r="I597" s="366"/>
      <c r="J597" s="368"/>
      <c r="K597" s="368"/>
    </row>
    <row r="598" spans="1:11" ht="15">
      <c r="A598" s="341"/>
      <c r="B598" s="365"/>
      <c r="C598" s="365"/>
      <c r="D598" s="366"/>
      <c r="E598" s="366"/>
      <c r="F598" s="367"/>
      <c r="G598" s="367"/>
      <c r="H598" s="366"/>
      <c r="I598" s="366"/>
      <c r="J598" s="368"/>
      <c r="K598" s="368"/>
    </row>
    <row r="599" spans="1:11" ht="15">
      <c r="A599" s="341"/>
      <c r="B599" s="365"/>
      <c r="C599" s="365"/>
      <c r="D599" s="366"/>
      <c r="E599" s="366"/>
      <c r="F599" s="367"/>
      <c r="G599" s="367"/>
      <c r="H599" s="366"/>
      <c r="I599" s="366"/>
      <c r="J599" s="368"/>
      <c r="K599" s="368"/>
    </row>
    <row r="600" spans="1:11" ht="15">
      <c r="A600" s="341"/>
      <c r="B600" s="365"/>
      <c r="C600" s="365"/>
      <c r="D600" s="366"/>
      <c r="E600" s="366"/>
      <c r="F600" s="367"/>
      <c r="G600" s="367"/>
      <c r="H600" s="366"/>
      <c r="I600" s="366"/>
      <c r="J600" s="368"/>
      <c r="K600" s="368"/>
    </row>
    <row r="601" spans="1:11" ht="15">
      <c r="A601" s="341"/>
      <c r="B601" s="365"/>
      <c r="C601" s="365"/>
      <c r="D601" s="366"/>
      <c r="E601" s="366"/>
      <c r="F601" s="367"/>
      <c r="G601" s="367"/>
      <c r="H601" s="366"/>
      <c r="I601" s="366"/>
      <c r="J601" s="368"/>
      <c r="K601" s="368"/>
    </row>
    <row r="602" spans="1:11" ht="15">
      <c r="A602" s="341"/>
      <c r="B602" s="365"/>
      <c r="C602" s="365"/>
      <c r="D602" s="366"/>
      <c r="E602" s="366"/>
      <c r="F602" s="367"/>
      <c r="G602" s="367"/>
      <c r="H602" s="366"/>
      <c r="I602" s="366"/>
      <c r="J602" s="368"/>
      <c r="K602" s="368"/>
    </row>
    <row r="603" spans="1:11" ht="15">
      <c r="A603" s="341"/>
      <c r="B603" s="365"/>
      <c r="C603" s="365"/>
      <c r="D603" s="366"/>
      <c r="E603" s="366"/>
      <c r="F603" s="367"/>
      <c r="G603" s="367"/>
      <c r="H603" s="366"/>
      <c r="I603" s="366"/>
      <c r="J603" s="368"/>
      <c r="K603" s="368"/>
    </row>
    <row r="604" spans="1:11" ht="15">
      <c r="A604" s="341"/>
      <c r="B604" s="365"/>
      <c r="C604" s="365"/>
      <c r="D604" s="366"/>
      <c r="E604" s="366"/>
      <c r="F604" s="367"/>
      <c r="G604" s="367"/>
      <c r="H604" s="366"/>
      <c r="I604" s="366"/>
      <c r="J604" s="368"/>
      <c r="K604" s="368"/>
    </row>
    <row r="605" spans="1:11" ht="15">
      <c r="A605" s="341"/>
      <c r="B605" s="365"/>
      <c r="C605" s="365"/>
      <c r="D605" s="366"/>
      <c r="E605" s="366"/>
      <c r="F605" s="367"/>
      <c r="G605" s="367"/>
      <c r="H605" s="366"/>
      <c r="I605" s="366"/>
      <c r="J605" s="368"/>
      <c r="K605" s="368"/>
    </row>
    <row r="606" spans="1:11" ht="15">
      <c r="A606" s="341"/>
      <c r="B606" s="365"/>
      <c r="C606" s="365"/>
      <c r="D606" s="366"/>
      <c r="E606" s="366"/>
      <c r="F606" s="367"/>
      <c r="G606" s="367"/>
      <c r="H606" s="366"/>
      <c r="I606" s="366"/>
      <c r="J606" s="368"/>
      <c r="K606" s="368"/>
    </row>
    <row r="607" spans="1:11" ht="15">
      <c r="A607" s="341"/>
      <c r="B607" s="365"/>
      <c r="C607" s="365"/>
      <c r="D607" s="366"/>
      <c r="E607" s="366"/>
      <c r="F607" s="367"/>
      <c r="G607" s="367"/>
      <c r="H607" s="366"/>
      <c r="I607" s="366"/>
      <c r="J607" s="368"/>
      <c r="K607" s="368"/>
    </row>
    <row r="608" spans="1:11" ht="15">
      <c r="A608" s="341"/>
      <c r="B608" s="365"/>
      <c r="C608" s="365"/>
      <c r="D608" s="366"/>
      <c r="E608" s="366"/>
      <c r="F608" s="367"/>
      <c r="G608" s="367"/>
      <c r="H608" s="366"/>
      <c r="I608" s="366"/>
      <c r="J608" s="368"/>
      <c r="K608" s="368"/>
    </row>
    <row r="609" spans="1:11" ht="15">
      <c r="A609" s="341"/>
      <c r="B609" s="365"/>
      <c r="C609" s="365"/>
      <c r="D609" s="366"/>
      <c r="E609" s="366"/>
      <c r="F609" s="367"/>
      <c r="G609" s="367"/>
      <c r="H609" s="366"/>
      <c r="I609" s="366"/>
      <c r="J609" s="368"/>
      <c r="K609" s="368"/>
    </row>
    <row r="610" spans="1:11" ht="15">
      <c r="A610" s="341"/>
      <c r="B610" s="365"/>
      <c r="C610" s="365"/>
      <c r="D610" s="366"/>
      <c r="E610" s="366"/>
      <c r="F610" s="367"/>
      <c r="G610" s="367"/>
      <c r="H610" s="366"/>
      <c r="I610" s="366"/>
      <c r="J610" s="368"/>
      <c r="K610" s="368"/>
    </row>
    <row r="611" spans="1:11" ht="15">
      <c r="A611" s="341"/>
      <c r="B611" s="365"/>
      <c r="C611" s="365"/>
      <c r="D611" s="366"/>
      <c r="E611" s="366"/>
      <c r="F611" s="367"/>
      <c r="G611" s="367"/>
      <c r="H611" s="366"/>
      <c r="I611" s="366"/>
      <c r="J611" s="368"/>
      <c r="K611" s="368"/>
    </row>
    <row r="612" spans="1:11" ht="15">
      <c r="A612" s="341"/>
      <c r="B612" s="365"/>
      <c r="C612" s="365"/>
      <c r="D612" s="366"/>
      <c r="E612" s="366"/>
      <c r="F612" s="367"/>
      <c r="G612" s="367"/>
      <c r="H612" s="366"/>
      <c r="I612" s="366"/>
      <c r="J612" s="368"/>
      <c r="K612" s="368"/>
    </row>
    <row r="613" spans="1:11" ht="15">
      <c r="A613" s="341"/>
      <c r="B613" s="365"/>
      <c r="C613" s="365"/>
      <c r="D613" s="366"/>
      <c r="E613" s="366"/>
      <c r="F613" s="367"/>
      <c r="G613" s="367"/>
      <c r="H613" s="366"/>
      <c r="I613" s="366"/>
      <c r="J613" s="368"/>
      <c r="K613" s="368"/>
    </row>
    <row r="614" spans="1:11" ht="15">
      <c r="A614" s="341"/>
      <c r="B614" s="365"/>
      <c r="C614" s="365"/>
      <c r="D614" s="366"/>
      <c r="E614" s="366"/>
      <c r="F614" s="367"/>
      <c r="G614" s="367"/>
      <c r="H614" s="366"/>
      <c r="I614" s="366"/>
      <c r="J614" s="368"/>
      <c r="K614" s="368"/>
    </row>
    <row r="615" spans="1:11" ht="15">
      <c r="A615" s="341"/>
      <c r="B615" s="365"/>
      <c r="C615" s="365"/>
      <c r="D615" s="366"/>
      <c r="E615" s="366"/>
      <c r="F615" s="367"/>
      <c r="G615" s="367"/>
      <c r="H615" s="366"/>
      <c r="I615" s="366"/>
      <c r="J615" s="368"/>
      <c r="K615" s="368"/>
    </row>
    <row r="616" spans="1:11" ht="15">
      <c r="A616" s="341"/>
      <c r="B616" s="365"/>
      <c r="C616" s="365"/>
      <c r="D616" s="366"/>
      <c r="E616" s="366"/>
      <c r="F616" s="367"/>
      <c r="G616" s="367"/>
      <c r="H616" s="366"/>
      <c r="I616" s="366"/>
      <c r="J616" s="368"/>
      <c r="K616" s="368"/>
    </row>
    <row r="617" spans="1:11" ht="15">
      <c r="A617" s="341"/>
      <c r="B617" s="365"/>
      <c r="C617" s="365"/>
      <c r="D617" s="366"/>
      <c r="E617" s="366"/>
      <c r="F617" s="367"/>
      <c r="G617" s="367"/>
      <c r="H617" s="366"/>
      <c r="I617" s="366"/>
      <c r="J617" s="368"/>
      <c r="K617" s="368"/>
    </row>
    <row r="618" spans="1:11" ht="15">
      <c r="A618" s="341"/>
      <c r="B618" s="365"/>
      <c r="C618" s="365"/>
      <c r="D618" s="366"/>
      <c r="E618" s="366"/>
      <c r="F618" s="367"/>
      <c r="G618" s="367"/>
      <c r="H618" s="366"/>
      <c r="I618" s="366"/>
      <c r="J618" s="368"/>
      <c r="K618" s="368"/>
    </row>
    <row r="619" spans="1:11" ht="15">
      <c r="A619" s="341"/>
      <c r="B619" s="365"/>
      <c r="C619" s="365"/>
      <c r="D619" s="366"/>
      <c r="E619" s="366"/>
      <c r="F619" s="367"/>
      <c r="G619" s="367"/>
      <c r="H619" s="366"/>
      <c r="I619" s="366"/>
      <c r="J619" s="368"/>
      <c r="K619" s="368"/>
    </row>
    <row r="620" spans="1:11" ht="15">
      <c r="A620" s="341"/>
      <c r="B620" s="365"/>
      <c r="C620" s="365"/>
      <c r="D620" s="366"/>
      <c r="E620" s="366"/>
      <c r="F620" s="367"/>
      <c r="G620" s="367"/>
      <c r="H620" s="366"/>
      <c r="I620" s="366"/>
      <c r="J620" s="368"/>
      <c r="K620" s="368"/>
    </row>
    <row r="621" spans="1:11" ht="15">
      <c r="A621" s="341"/>
      <c r="B621" s="365"/>
      <c r="C621" s="365"/>
      <c r="D621" s="366"/>
      <c r="E621" s="366"/>
      <c r="F621" s="367"/>
      <c r="G621" s="367"/>
      <c r="H621" s="366"/>
      <c r="I621" s="366"/>
      <c r="J621" s="368"/>
      <c r="K621" s="368"/>
    </row>
    <row r="622" spans="1:11" ht="15">
      <c r="A622" s="341"/>
      <c r="B622" s="365"/>
      <c r="C622" s="365"/>
      <c r="D622" s="366"/>
      <c r="E622" s="366"/>
      <c r="F622" s="367"/>
      <c r="G622" s="367"/>
      <c r="H622" s="366"/>
      <c r="I622" s="366"/>
      <c r="J622" s="368"/>
      <c r="K622" s="368"/>
    </row>
    <row r="623" spans="1:11" ht="15">
      <c r="A623" s="341"/>
      <c r="B623" s="365"/>
      <c r="C623" s="365"/>
      <c r="D623" s="366"/>
      <c r="E623" s="366"/>
      <c r="F623" s="367"/>
      <c r="G623" s="367"/>
      <c r="H623" s="366"/>
      <c r="I623" s="366"/>
      <c r="J623" s="368"/>
      <c r="K623" s="368"/>
    </row>
    <row r="624" spans="1:11" ht="15">
      <c r="A624" s="341"/>
      <c r="B624" s="365"/>
      <c r="C624" s="365"/>
      <c r="D624" s="366"/>
      <c r="E624" s="366"/>
      <c r="F624" s="367"/>
      <c r="G624" s="367"/>
      <c r="H624" s="366"/>
      <c r="I624" s="366"/>
      <c r="J624" s="368"/>
      <c r="K624" s="368"/>
    </row>
    <row r="625" spans="1:11" ht="15">
      <c r="A625" s="341"/>
      <c r="B625" s="365"/>
      <c r="C625" s="365"/>
      <c r="D625" s="366"/>
      <c r="E625" s="366"/>
      <c r="F625" s="367"/>
      <c r="G625" s="367"/>
      <c r="H625" s="366"/>
      <c r="I625" s="366"/>
      <c r="J625" s="368"/>
      <c r="K625" s="368"/>
    </row>
    <row r="626" spans="1:11" ht="15">
      <c r="A626" s="341"/>
      <c r="B626" s="365"/>
      <c r="C626" s="365"/>
      <c r="D626" s="366"/>
      <c r="E626" s="366"/>
      <c r="F626" s="367"/>
      <c r="G626" s="367"/>
      <c r="H626" s="366"/>
      <c r="I626" s="366"/>
      <c r="J626" s="368"/>
      <c r="K626" s="368"/>
    </row>
    <row r="627" spans="1:11" ht="15">
      <c r="A627" s="341"/>
      <c r="B627" s="365"/>
      <c r="C627" s="365"/>
      <c r="D627" s="366"/>
      <c r="E627" s="366"/>
      <c r="F627" s="367"/>
      <c r="G627" s="367"/>
      <c r="H627" s="366"/>
      <c r="I627" s="366"/>
      <c r="J627" s="368"/>
      <c r="K627" s="368"/>
    </row>
    <row r="628" spans="1:11" ht="15">
      <c r="A628" s="341"/>
      <c r="B628" s="365"/>
      <c r="C628" s="365"/>
      <c r="D628" s="366"/>
      <c r="E628" s="366"/>
      <c r="F628" s="367"/>
      <c r="G628" s="367"/>
      <c r="H628" s="366"/>
      <c r="I628" s="366"/>
      <c r="J628" s="368"/>
      <c r="K628" s="368"/>
    </row>
    <row r="629" spans="1:11" ht="15">
      <c r="A629" s="341"/>
      <c r="B629" s="365"/>
      <c r="C629" s="365"/>
      <c r="D629" s="366"/>
      <c r="E629" s="366"/>
      <c r="F629" s="367"/>
      <c r="G629" s="367"/>
      <c r="H629" s="366"/>
      <c r="I629" s="366"/>
      <c r="J629" s="368"/>
      <c r="K629" s="368"/>
    </row>
    <row r="630" spans="1:11" ht="15">
      <c r="A630" s="341"/>
      <c r="B630" s="365"/>
      <c r="C630" s="365"/>
      <c r="D630" s="366"/>
      <c r="E630" s="366"/>
      <c r="F630" s="367"/>
      <c r="G630" s="367"/>
      <c r="H630" s="366"/>
      <c r="I630" s="366"/>
      <c r="J630" s="368"/>
      <c r="K630" s="368"/>
    </row>
    <row r="631" spans="1:11" ht="15">
      <c r="A631" s="341"/>
      <c r="B631" s="365"/>
      <c r="C631" s="365"/>
      <c r="D631" s="366"/>
      <c r="E631" s="366"/>
      <c r="F631" s="367"/>
      <c r="G631" s="367"/>
      <c r="H631" s="366"/>
      <c r="I631" s="366"/>
      <c r="J631" s="368"/>
      <c r="K631" s="368"/>
    </row>
    <row r="632" spans="1:11" ht="15">
      <c r="A632" s="341"/>
      <c r="B632" s="365"/>
      <c r="C632" s="365"/>
      <c r="D632" s="366"/>
      <c r="E632" s="366"/>
      <c r="F632" s="367"/>
      <c r="G632" s="367"/>
      <c r="H632" s="366"/>
      <c r="I632" s="366"/>
      <c r="J632" s="368"/>
      <c r="K632" s="368"/>
    </row>
    <row r="633" spans="1:11" ht="15">
      <c r="A633" s="341"/>
      <c r="B633" s="365"/>
      <c r="C633" s="365"/>
      <c r="D633" s="366"/>
      <c r="E633" s="366"/>
      <c r="F633" s="367"/>
      <c r="G633" s="367"/>
      <c r="H633" s="366"/>
      <c r="I633" s="366"/>
      <c r="J633" s="368"/>
      <c r="K633" s="368"/>
    </row>
    <row r="634" spans="1:11" ht="15">
      <c r="A634" s="341"/>
      <c r="B634" s="365"/>
      <c r="C634" s="365"/>
      <c r="D634" s="366"/>
      <c r="E634" s="366"/>
      <c r="F634" s="367"/>
      <c r="G634" s="367"/>
      <c r="H634" s="366"/>
      <c r="I634" s="366"/>
      <c r="J634" s="368"/>
      <c r="K634" s="368"/>
    </row>
    <row r="635" spans="1:11" ht="15">
      <c r="A635" s="341"/>
      <c r="B635" s="365"/>
      <c r="C635" s="365"/>
      <c r="D635" s="366"/>
      <c r="E635" s="366"/>
      <c r="F635" s="367"/>
      <c r="G635" s="367"/>
      <c r="H635" s="366"/>
      <c r="I635" s="366"/>
      <c r="J635" s="368"/>
      <c r="K635" s="368"/>
    </row>
    <row r="636" spans="1:11" ht="15">
      <c r="A636" s="341"/>
      <c r="B636" s="365"/>
      <c r="C636" s="365"/>
      <c r="D636" s="366"/>
      <c r="E636" s="366"/>
      <c r="F636" s="367"/>
      <c r="G636" s="367"/>
      <c r="H636" s="366"/>
      <c r="I636" s="366"/>
      <c r="J636" s="368"/>
      <c r="K636" s="368"/>
    </row>
    <row r="637" spans="1:11" ht="15">
      <c r="A637" s="341"/>
      <c r="B637" s="365"/>
      <c r="C637" s="365"/>
      <c r="D637" s="366"/>
      <c r="E637" s="366"/>
      <c r="F637" s="367"/>
      <c r="G637" s="367"/>
      <c r="H637" s="366"/>
      <c r="I637" s="366"/>
      <c r="J637" s="368"/>
      <c r="K637" s="368"/>
    </row>
    <row r="638" spans="1:11" ht="15">
      <c r="A638" s="341"/>
      <c r="B638" s="365"/>
      <c r="C638" s="365"/>
      <c r="D638" s="366"/>
      <c r="E638" s="366"/>
      <c r="F638" s="367"/>
      <c r="G638" s="367"/>
      <c r="H638" s="366"/>
      <c r="I638" s="366"/>
      <c r="J638" s="368"/>
      <c r="K638" s="368"/>
    </row>
    <row r="639" spans="1:11" ht="15">
      <c r="A639" s="341"/>
      <c r="B639" s="365"/>
      <c r="C639" s="365"/>
      <c r="D639" s="366"/>
      <c r="E639" s="366"/>
      <c r="F639" s="367"/>
      <c r="G639" s="367"/>
      <c r="H639" s="366"/>
      <c r="I639" s="366"/>
      <c r="J639" s="368"/>
      <c r="K639" s="368"/>
    </row>
    <row r="640" spans="1:11" ht="15">
      <c r="A640" s="341"/>
      <c r="B640" s="365"/>
      <c r="C640" s="365"/>
      <c r="D640" s="366"/>
      <c r="E640" s="366"/>
      <c r="F640" s="367"/>
      <c r="G640" s="367"/>
      <c r="H640" s="366"/>
      <c r="I640" s="366"/>
      <c r="J640" s="368"/>
      <c r="K640" s="368"/>
    </row>
    <row r="641" spans="1:11" ht="15">
      <c r="A641" s="341"/>
      <c r="B641" s="365"/>
      <c r="C641" s="365"/>
      <c r="D641" s="366"/>
      <c r="E641" s="366"/>
      <c r="F641" s="367"/>
      <c r="G641" s="367"/>
      <c r="H641" s="366"/>
      <c r="I641" s="366"/>
      <c r="J641" s="368"/>
      <c r="K641" s="368"/>
    </row>
    <row r="642" spans="1:11" ht="15">
      <c r="A642" s="341"/>
      <c r="B642" s="365"/>
      <c r="C642" s="365"/>
      <c r="D642" s="366"/>
      <c r="E642" s="366"/>
      <c r="F642" s="367"/>
      <c r="G642" s="367"/>
      <c r="H642" s="366"/>
      <c r="I642" s="366"/>
      <c r="J642" s="368"/>
      <c r="K642" s="368"/>
    </row>
    <row r="643" spans="1:11" ht="15">
      <c r="A643" s="341"/>
      <c r="B643" s="365"/>
      <c r="C643" s="365"/>
      <c r="D643" s="366"/>
      <c r="E643" s="366"/>
      <c r="F643" s="367"/>
      <c r="G643" s="367"/>
      <c r="H643" s="366"/>
      <c r="I643" s="366"/>
      <c r="J643" s="368"/>
      <c r="K643" s="368"/>
    </row>
    <row r="644" spans="1:11" ht="15">
      <c r="A644" s="341"/>
      <c r="B644" s="365"/>
      <c r="C644" s="365"/>
      <c r="D644" s="366"/>
      <c r="E644" s="366"/>
      <c r="F644" s="367"/>
      <c r="G644" s="367"/>
      <c r="H644" s="366"/>
      <c r="I644" s="366"/>
      <c r="J644" s="368"/>
      <c r="K644" s="368"/>
    </row>
    <row r="645" spans="1:11" ht="15">
      <c r="A645" s="341"/>
      <c r="B645" s="365"/>
      <c r="C645" s="365"/>
      <c r="D645" s="366"/>
      <c r="E645" s="366"/>
      <c r="F645" s="367"/>
      <c r="G645" s="367"/>
      <c r="H645" s="366"/>
      <c r="I645" s="366"/>
      <c r="J645" s="368"/>
      <c r="K645" s="368"/>
    </row>
    <row r="646" spans="1:11" ht="15">
      <c r="A646" s="341"/>
      <c r="B646" s="365"/>
      <c r="C646" s="365"/>
      <c r="D646" s="366"/>
      <c r="E646" s="366"/>
      <c r="F646" s="367"/>
      <c r="G646" s="367"/>
      <c r="H646" s="366"/>
      <c r="I646" s="366"/>
      <c r="J646" s="368"/>
      <c r="K646" s="368"/>
    </row>
    <row r="647" spans="1:11" ht="15">
      <c r="A647" s="341"/>
      <c r="B647" s="365"/>
      <c r="C647" s="365"/>
      <c r="D647" s="366"/>
      <c r="E647" s="366"/>
      <c r="F647" s="367"/>
      <c r="G647" s="367"/>
      <c r="H647" s="366"/>
      <c r="I647" s="366"/>
      <c r="J647" s="368"/>
      <c r="K647" s="368"/>
    </row>
    <row r="648" spans="1:11" ht="15">
      <c r="A648" s="341"/>
      <c r="B648" s="365"/>
      <c r="C648" s="365"/>
      <c r="D648" s="366"/>
      <c r="E648" s="366"/>
      <c r="F648" s="367"/>
      <c r="G648" s="367"/>
      <c r="H648" s="366"/>
      <c r="I648" s="366"/>
      <c r="J648" s="368"/>
      <c r="K648" s="368"/>
    </row>
    <row r="649" spans="1:11" ht="15">
      <c r="A649" s="341"/>
      <c r="B649" s="365"/>
      <c r="C649" s="365"/>
      <c r="D649" s="366"/>
      <c r="E649" s="366"/>
      <c r="F649" s="367"/>
      <c r="G649" s="367"/>
      <c r="H649" s="366"/>
      <c r="I649" s="366"/>
      <c r="J649" s="368"/>
      <c r="K649" s="368"/>
    </row>
    <row r="650" spans="1:11" ht="15">
      <c r="A650" s="341"/>
      <c r="B650" s="365"/>
      <c r="C650" s="365"/>
      <c r="D650" s="366"/>
      <c r="E650" s="366"/>
      <c r="F650" s="367"/>
      <c r="G650" s="367"/>
      <c r="H650" s="366"/>
      <c r="I650" s="366"/>
      <c r="J650" s="368"/>
      <c r="K650" s="368"/>
    </row>
    <row r="651" spans="1:11" ht="15">
      <c r="A651" s="341"/>
      <c r="B651" s="365"/>
      <c r="C651" s="365"/>
      <c r="D651" s="366"/>
      <c r="E651" s="366"/>
      <c r="F651" s="367"/>
      <c r="G651" s="367"/>
      <c r="H651" s="366"/>
      <c r="I651" s="366"/>
      <c r="J651" s="368"/>
      <c r="K651" s="368"/>
    </row>
    <row r="652" spans="1:11" ht="15">
      <c r="A652" s="341"/>
      <c r="B652" s="365"/>
      <c r="C652" s="365"/>
      <c r="D652" s="366"/>
      <c r="E652" s="366"/>
      <c r="F652" s="367"/>
      <c r="G652" s="367"/>
      <c r="H652" s="366"/>
      <c r="I652" s="366"/>
      <c r="J652" s="368"/>
      <c r="K652" s="368"/>
    </row>
    <row r="653" spans="1:11" ht="15">
      <c r="A653" s="341"/>
      <c r="B653" s="365"/>
      <c r="C653" s="365"/>
      <c r="D653" s="366"/>
      <c r="E653" s="366"/>
      <c r="F653" s="367"/>
      <c r="G653" s="367"/>
      <c r="H653" s="366"/>
      <c r="I653" s="366"/>
      <c r="J653" s="368"/>
      <c r="K653" s="368"/>
    </row>
    <row r="654" spans="1:11" ht="15">
      <c r="A654" s="341"/>
      <c r="B654" s="365"/>
      <c r="C654" s="365"/>
      <c r="D654" s="366"/>
      <c r="E654" s="366"/>
      <c r="F654" s="367"/>
      <c r="G654" s="367"/>
      <c r="H654" s="366"/>
      <c r="I654" s="366"/>
      <c r="J654" s="368"/>
      <c r="K654" s="368"/>
    </row>
    <row r="655" spans="1:11" ht="15">
      <c r="A655" s="341"/>
      <c r="B655" s="365"/>
      <c r="C655" s="365"/>
      <c r="D655" s="366"/>
      <c r="E655" s="366"/>
      <c r="F655" s="367"/>
      <c r="G655" s="367"/>
      <c r="H655" s="366"/>
      <c r="I655" s="366"/>
      <c r="J655" s="368"/>
      <c r="K655" s="368"/>
    </row>
    <row r="656" spans="1:11" ht="15">
      <c r="A656" s="341"/>
      <c r="B656" s="365"/>
      <c r="C656" s="365"/>
      <c r="D656" s="366"/>
      <c r="E656" s="366"/>
      <c r="F656" s="367"/>
      <c r="G656" s="367"/>
      <c r="H656" s="366"/>
      <c r="I656" s="366"/>
      <c r="J656" s="368"/>
      <c r="K656" s="368"/>
    </row>
    <row r="657" spans="1:11" ht="15">
      <c r="A657" s="341"/>
      <c r="B657" s="365"/>
      <c r="C657" s="365"/>
      <c r="D657" s="366"/>
      <c r="E657" s="366"/>
      <c r="F657" s="367"/>
      <c r="G657" s="367"/>
      <c r="H657" s="366"/>
      <c r="I657" s="366"/>
      <c r="J657" s="368"/>
      <c r="K657" s="368"/>
    </row>
    <row r="658" spans="1:11" ht="15">
      <c r="A658" s="341"/>
      <c r="B658" s="365"/>
      <c r="C658" s="365"/>
      <c r="D658" s="366"/>
      <c r="E658" s="366"/>
      <c r="F658" s="367"/>
      <c r="G658" s="367"/>
      <c r="H658" s="366"/>
      <c r="I658" s="366"/>
      <c r="J658" s="368"/>
      <c r="K658" s="368"/>
    </row>
    <row r="659" spans="1:11" ht="15">
      <c r="A659" s="341"/>
      <c r="B659" s="365"/>
      <c r="C659" s="365"/>
      <c r="D659" s="366"/>
      <c r="E659" s="366"/>
      <c r="F659" s="367"/>
      <c r="G659" s="367"/>
      <c r="H659" s="366"/>
      <c r="I659" s="366"/>
      <c r="J659" s="368"/>
      <c r="K659" s="368"/>
    </row>
    <row r="660" spans="1:11" ht="15">
      <c r="A660" s="341"/>
      <c r="B660" s="365"/>
      <c r="C660" s="365"/>
      <c r="D660" s="366"/>
      <c r="E660" s="366"/>
      <c r="F660" s="367"/>
      <c r="G660" s="367"/>
      <c r="H660" s="366"/>
      <c r="I660" s="366"/>
      <c r="J660" s="368"/>
      <c r="K660" s="368"/>
    </row>
    <row r="661" spans="1:11" ht="15">
      <c r="A661" s="341"/>
      <c r="B661" s="365"/>
      <c r="C661" s="365"/>
      <c r="D661" s="366"/>
      <c r="E661" s="366"/>
      <c r="F661" s="367"/>
      <c r="G661" s="367"/>
      <c r="H661" s="366"/>
      <c r="I661" s="366"/>
      <c r="J661" s="368"/>
      <c r="K661" s="368"/>
    </row>
    <row r="662" spans="1:11" ht="15">
      <c r="A662" s="341"/>
      <c r="B662" s="365"/>
      <c r="C662" s="365"/>
      <c r="D662" s="366"/>
      <c r="E662" s="366"/>
      <c r="F662" s="367"/>
      <c r="G662" s="367"/>
      <c r="H662" s="366"/>
      <c r="I662" s="366"/>
      <c r="J662" s="368"/>
      <c r="K662" s="368"/>
    </row>
    <row r="663" spans="1:11" ht="15">
      <c r="A663" s="341"/>
      <c r="B663" s="365"/>
      <c r="C663" s="365"/>
      <c r="D663" s="366"/>
      <c r="E663" s="366"/>
      <c r="F663" s="367"/>
      <c r="G663" s="367"/>
      <c r="H663" s="366"/>
      <c r="I663" s="366"/>
      <c r="J663" s="368"/>
      <c r="K663" s="368"/>
    </row>
    <row r="664" spans="1:11" ht="15">
      <c r="A664" s="341"/>
      <c r="B664" s="365"/>
      <c r="C664" s="365"/>
      <c r="D664" s="366"/>
      <c r="E664" s="366"/>
      <c r="F664" s="367"/>
      <c r="G664" s="367"/>
      <c r="H664" s="366"/>
      <c r="I664" s="366"/>
      <c r="J664" s="368"/>
      <c r="K664" s="368"/>
    </row>
    <row r="665" spans="1:11" ht="15">
      <c r="A665" s="341"/>
      <c r="B665" s="365"/>
      <c r="C665" s="365"/>
      <c r="D665" s="366"/>
      <c r="E665" s="366"/>
      <c r="F665" s="367"/>
      <c r="G665" s="367"/>
      <c r="H665" s="366"/>
      <c r="I665" s="366"/>
      <c r="J665" s="368"/>
      <c r="K665" s="368"/>
    </row>
    <row r="666" spans="1:11" ht="15">
      <c r="A666" s="341"/>
      <c r="B666" s="365"/>
      <c r="C666" s="365"/>
      <c r="D666" s="366"/>
      <c r="E666" s="366"/>
      <c r="F666" s="367"/>
      <c r="G666" s="367"/>
      <c r="H666" s="366"/>
      <c r="I666" s="366"/>
      <c r="J666" s="368"/>
      <c r="K666" s="368"/>
    </row>
    <row r="667" spans="1:11" ht="15">
      <c r="A667" s="341"/>
      <c r="B667" s="365"/>
      <c r="C667" s="365"/>
      <c r="D667" s="366"/>
      <c r="E667" s="366"/>
      <c r="F667" s="367"/>
      <c r="G667" s="367"/>
      <c r="H667" s="366"/>
      <c r="I667" s="366"/>
      <c r="J667" s="368"/>
      <c r="K667" s="368"/>
    </row>
    <row r="668" spans="1:11" ht="15">
      <c r="A668" s="341"/>
      <c r="B668" s="365"/>
      <c r="C668" s="365"/>
      <c r="D668" s="366"/>
      <c r="E668" s="366"/>
      <c r="F668" s="367"/>
      <c r="G668" s="367"/>
      <c r="H668" s="366"/>
      <c r="I668" s="366"/>
      <c r="J668" s="368"/>
      <c r="K668" s="368"/>
    </row>
    <row r="669" spans="1:11" ht="15">
      <c r="A669" s="341"/>
      <c r="B669" s="365"/>
      <c r="C669" s="365"/>
      <c r="D669" s="366"/>
      <c r="E669" s="366"/>
      <c r="F669" s="367"/>
      <c r="G669" s="367"/>
      <c r="H669" s="366"/>
      <c r="I669" s="366"/>
      <c r="J669" s="368"/>
      <c r="K669" s="368"/>
    </row>
    <row r="670" spans="1:11" ht="15">
      <c r="A670" s="341"/>
      <c r="B670" s="365"/>
      <c r="C670" s="365"/>
      <c r="D670" s="366"/>
      <c r="E670" s="366"/>
      <c r="F670" s="367"/>
      <c r="G670" s="367"/>
      <c r="H670" s="366"/>
      <c r="I670" s="366"/>
      <c r="J670" s="368"/>
      <c r="K670" s="368"/>
    </row>
    <row r="671" spans="1:11" ht="15">
      <c r="A671" s="341"/>
      <c r="B671" s="365"/>
      <c r="C671" s="365"/>
      <c r="D671" s="366"/>
      <c r="E671" s="366"/>
      <c r="F671" s="367"/>
      <c r="G671" s="367"/>
      <c r="H671" s="366"/>
      <c r="I671" s="366"/>
      <c r="J671" s="368"/>
      <c r="K671" s="368"/>
    </row>
    <row r="672" spans="1:11" ht="15">
      <c r="A672" s="341"/>
      <c r="B672" s="365"/>
      <c r="C672" s="365"/>
      <c r="D672" s="366"/>
      <c r="E672" s="366"/>
      <c r="F672" s="367"/>
      <c r="G672" s="367"/>
      <c r="H672" s="366"/>
      <c r="I672" s="366"/>
      <c r="J672" s="368"/>
      <c r="K672" s="368"/>
    </row>
    <row r="673" spans="1:11" ht="15">
      <c r="A673" s="341"/>
      <c r="B673" s="365"/>
      <c r="C673" s="365"/>
      <c r="D673" s="366"/>
      <c r="E673" s="366"/>
      <c r="F673" s="367"/>
      <c r="G673" s="367"/>
      <c r="H673" s="366"/>
      <c r="I673" s="366"/>
      <c r="J673" s="368"/>
      <c r="K673" s="368"/>
    </row>
    <row r="674" spans="1:11" ht="15">
      <c r="A674" s="341"/>
      <c r="B674" s="365"/>
      <c r="C674" s="365"/>
      <c r="D674" s="366"/>
      <c r="E674" s="366"/>
      <c r="F674" s="367"/>
      <c r="G674" s="367"/>
      <c r="H674" s="366"/>
      <c r="I674" s="366"/>
      <c r="J674" s="368"/>
      <c r="K674" s="368"/>
    </row>
    <row r="675" spans="1:11" ht="15">
      <c r="A675" s="341"/>
      <c r="B675" s="365"/>
      <c r="C675" s="365"/>
      <c r="D675" s="366"/>
      <c r="E675" s="366"/>
      <c r="F675" s="367"/>
      <c r="G675" s="367"/>
      <c r="H675" s="366"/>
      <c r="I675" s="366"/>
      <c r="J675" s="368"/>
      <c r="K675" s="368"/>
    </row>
    <row r="676" spans="1:11" ht="15">
      <c r="A676" s="341"/>
      <c r="B676" s="365"/>
      <c r="C676" s="365"/>
      <c r="D676" s="366"/>
      <c r="E676" s="366"/>
      <c r="F676" s="367"/>
      <c r="G676" s="367"/>
      <c r="H676" s="366"/>
      <c r="I676" s="366"/>
      <c r="J676" s="368"/>
      <c r="K676" s="368"/>
    </row>
    <row r="677" spans="1:11" ht="15">
      <c r="A677" s="341"/>
      <c r="B677" s="365"/>
      <c r="C677" s="365"/>
      <c r="D677" s="366"/>
      <c r="E677" s="366"/>
      <c r="F677" s="367"/>
      <c r="G677" s="367"/>
      <c r="H677" s="366"/>
      <c r="I677" s="366"/>
      <c r="J677" s="368"/>
      <c r="K677" s="368"/>
    </row>
    <row r="678" spans="1:11" ht="15">
      <c r="A678" s="341"/>
      <c r="B678" s="365"/>
      <c r="C678" s="365"/>
      <c r="D678" s="366"/>
      <c r="E678" s="366"/>
      <c r="F678" s="367"/>
      <c r="G678" s="367"/>
      <c r="H678" s="366"/>
      <c r="I678" s="366"/>
      <c r="J678" s="368"/>
      <c r="K678" s="368"/>
    </row>
    <row r="679" spans="1:11" ht="15">
      <c r="A679" s="341"/>
      <c r="B679" s="365"/>
      <c r="C679" s="365"/>
      <c r="D679" s="366"/>
      <c r="E679" s="366"/>
      <c r="F679" s="367"/>
      <c r="G679" s="367"/>
      <c r="H679" s="366"/>
      <c r="I679" s="366"/>
      <c r="J679" s="368"/>
      <c r="K679" s="368"/>
    </row>
    <row r="680" spans="1:11" ht="15">
      <c r="A680" s="341"/>
      <c r="B680" s="365"/>
      <c r="C680" s="365"/>
      <c r="D680" s="366"/>
      <c r="E680" s="366"/>
      <c r="F680" s="367"/>
      <c r="G680" s="367"/>
      <c r="H680" s="366"/>
      <c r="I680" s="366"/>
      <c r="J680" s="368"/>
      <c r="K680" s="368"/>
    </row>
    <row r="681" spans="1:11" ht="15">
      <c r="A681" s="341"/>
      <c r="B681" s="365"/>
      <c r="C681" s="365"/>
      <c r="D681" s="366"/>
      <c r="E681" s="366"/>
      <c r="F681" s="367"/>
      <c r="G681" s="367"/>
      <c r="H681" s="366"/>
      <c r="I681" s="366"/>
      <c r="J681" s="368"/>
      <c r="K681" s="368"/>
    </row>
    <row r="682" spans="1:11" ht="15">
      <c r="A682" s="341"/>
      <c r="B682" s="365"/>
      <c r="C682" s="365"/>
      <c r="D682" s="366"/>
      <c r="E682" s="366"/>
      <c r="F682" s="367"/>
      <c r="G682" s="367"/>
      <c r="H682" s="366"/>
      <c r="I682" s="366"/>
      <c r="J682" s="368"/>
      <c r="K682" s="368"/>
    </row>
    <row r="683" spans="1:11" ht="15">
      <c r="A683" s="341"/>
      <c r="B683" s="365"/>
      <c r="C683" s="365"/>
      <c r="D683" s="366"/>
      <c r="E683" s="366"/>
      <c r="F683" s="367"/>
      <c r="G683" s="367"/>
      <c r="H683" s="366"/>
      <c r="I683" s="366"/>
      <c r="J683" s="368"/>
      <c r="K683" s="368"/>
    </row>
    <row r="684" spans="1:11" ht="15">
      <c r="A684" s="341"/>
      <c r="B684" s="365"/>
      <c r="C684" s="365"/>
      <c r="D684" s="366"/>
      <c r="E684" s="366"/>
      <c r="F684" s="367"/>
      <c r="G684" s="367"/>
      <c r="H684" s="366"/>
      <c r="I684" s="366"/>
      <c r="J684" s="368"/>
      <c r="K684" s="368"/>
    </row>
    <row r="685" spans="1:11" ht="15">
      <c r="A685" s="341"/>
      <c r="B685" s="365"/>
      <c r="C685" s="365"/>
      <c r="D685" s="366"/>
      <c r="E685" s="366"/>
      <c r="F685" s="367"/>
      <c r="G685" s="367"/>
      <c r="H685" s="366"/>
      <c r="I685" s="366"/>
      <c r="J685" s="368"/>
      <c r="K685" s="368"/>
    </row>
    <row r="686" spans="1:11" ht="15">
      <c r="A686" s="341"/>
      <c r="B686" s="365"/>
      <c r="C686" s="365"/>
      <c r="D686" s="366"/>
      <c r="E686" s="366"/>
      <c r="F686" s="367"/>
      <c r="G686" s="367"/>
      <c r="H686" s="366"/>
      <c r="I686" s="366"/>
      <c r="J686" s="368"/>
      <c r="K686" s="368"/>
    </row>
    <row r="687" spans="1:11" ht="15">
      <c r="A687" s="341"/>
      <c r="B687" s="365"/>
      <c r="C687" s="365"/>
      <c r="D687" s="366"/>
      <c r="E687" s="366"/>
      <c r="F687" s="367"/>
      <c r="G687" s="367"/>
      <c r="H687" s="366"/>
      <c r="I687" s="366"/>
      <c r="J687" s="368"/>
      <c r="K687" s="368"/>
    </row>
    <row r="688" spans="1:11" ht="15">
      <c r="A688" s="341"/>
      <c r="B688" s="365"/>
      <c r="C688" s="365"/>
      <c r="D688" s="366"/>
      <c r="E688" s="366"/>
      <c r="F688" s="367"/>
      <c r="G688" s="367"/>
      <c r="H688" s="366"/>
      <c r="I688" s="366"/>
      <c r="J688" s="368"/>
      <c r="K688" s="368"/>
    </row>
    <row r="689" spans="1:11" ht="15">
      <c r="A689" s="341"/>
      <c r="B689" s="365"/>
      <c r="C689" s="365"/>
      <c r="D689" s="366"/>
      <c r="E689" s="366"/>
      <c r="F689" s="367"/>
      <c r="G689" s="367"/>
      <c r="H689" s="366"/>
      <c r="I689" s="366"/>
      <c r="J689" s="368"/>
      <c r="K689" s="368"/>
    </row>
    <row r="690" spans="1:11" ht="15">
      <c r="A690" s="341"/>
      <c r="B690" s="365"/>
      <c r="C690" s="365"/>
      <c r="D690" s="366"/>
      <c r="E690" s="366"/>
      <c r="F690" s="367"/>
      <c r="G690" s="367"/>
      <c r="H690" s="366"/>
      <c r="I690" s="366"/>
      <c r="J690" s="368"/>
      <c r="K690" s="368"/>
    </row>
    <row r="691" spans="1:11" ht="15">
      <c r="A691" s="341"/>
      <c r="B691" s="365"/>
      <c r="C691" s="365"/>
      <c r="D691" s="366"/>
      <c r="E691" s="366"/>
      <c r="F691" s="367"/>
      <c r="G691" s="367"/>
      <c r="H691" s="366"/>
      <c r="I691" s="366"/>
      <c r="J691" s="368"/>
      <c r="K691" s="368"/>
    </row>
    <row r="692" spans="1:11" ht="15">
      <c r="A692" s="341"/>
      <c r="B692" s="365"/>
      <c r="C692" s="365"/>
      <c r="D692" s="366"/>
      <c r="E692" s="366"/>
      <c r="F692" s="367"/>
      <c r="G692" s="367"/>
      <c r="H692" s="366"/>
      <c r="I692" s="366"/>
      <c r="J692" s="368"/>
      <c r="K692" s="368"/>
    </row>
    <row r="693" spans="1:11" ht="15">
      <c r="A693" s="341"/>
      <c r="B693" s="365"/>
      <c r="C693" s="365"/>
      <c r="D693" s="366"/>
      <c r="E693" s="366"/>
      <c r="F693" s="367"/>
      <c r="G693" s="367"/>
      <c r="H693" s="366"/>
      <c r="I693" s="366"/>
      <c r="J693" s="368"/>
      <c r="K693" s="368"/>
    </row>
    <row r="694" spans="1:11" ht="15">
      <c r="A694" s="341"/>
      <c r="B694" s="365"/>
      <c r="C694" s="365"/>
      <c r="D694" s="366"/>
      <c r="E694" s="366"/>
      <c r="F694" s="367"/>
      <c r="G694" s="367"/>
      <c r="H694" s="366"/>
      <c r="I694" s="366"/>
      <c r="J694" s="368"/>
      <c r="K694" s="368"/>
    </row>
    <row r="695" spans="1:11" ht="15">
      <c r="A695" s="341"/>
      <c r="B695" s="365"/>
      <c r="C695" s="365"/>
      <c r="D695" s="366"/>
      <c r="E695" s="366"/>
      <c r="F695" s="367"/>
      <c r="G695" s="367"/>
      <c r="H695" s="366"/>
      <c r="I695" s="366"/>
      <c r="J695" s="368"/>
      <c r="K695" s="368"/>
    </row>
    <row r="696" spans="1:11" ht="15">
      <c r="A696" s="341"/>
      <c r="B696" s="365"/>
      <c r="C696" s="365"/>
      <c r="D696" s="366"/>
      <c r="E696" s="366"/>
      <c r="F696" s="367"/>
      <c r="G696" s="367"/>
      <c r="H696" s="366"/>
      <c r="I696" s="366"/>
      <c r="J696" s="368"/>
      <c r="K696" s="368"/>
    </row>
    <row r="697" spans="1:11" ht="15">
      <c r="A697" s="341"/>
      <c r="B697" s="365"/>
      <c r="C697" s="365"/>
      <c r="D697" s="366"/>
      <c r="E697" s="366"/>
      <c r="F697" s="367"/>
      <c r="G697" s="367"/>
      <c r="H697" s="366"/>
      <c r="I697" s="366"/>
      <c r="J697" s="368"/>
      <c r="K697" s="368"/>
    </row>
    <row r="698" spans="1:11" ht="15">
      <c r="A698" s="341"/>
      <c r="B698" s="365"/>
      <c r="C698" s="365"/>
      <c r="D698" s="366"/>
      <c r="E698" s="366"/>
      <c r="F698" s="367"/>
      <c r="G698" s="367"/>
      <c r="H698" s="366"/>
      <c r="I698" s="366"/>
      <c r="J698" s="368"/>
      <c r="K698" s="368"/>
    </row>
    <row r="699" spans="1:11" ht="15">
      <c r="A699" s="341"/>
      <c r="B699" s="365"/>
      <c r="C699" s="365"/>
      <c r="D699" s="366"/>
      <c r="E699" s="366"/>
      <c r="F699" s="367"/>
      <c r="G699" s="367"/>
      <c r="H699" s="366"/>
      <c r="I699" s="366"/>
      <c r="J699" s="368"/>
      <c r="K699" s="368"/>
    </row>
    <row r="700" spans="1:11" ht="15">
      <c r="A700" s="341"/>
      <c r="B700" s="365"/>
      <c r="C700" s="365"/>
      <c r="D700" s="366"/>
      <c r="E700" s="366"/>
      <c r="F700" s="367"/>
      <c r="G700" s="367"/>
      <c r="H700" s="366"/>
      <c r="I700" s="366"/>
      <c r="J700" s="368"/>
      <c r="K700" s="368"/>
    </row>
    <row r="701" spans="1:11" ht="15">
      <c r="A701" s="341"/>
      <c r="B701" s="365"/>
      <c r="C701" s="365"/>
      <c r="D701" s="366"/>
      <c r="E701" s="366"/>
      <c r="F701" s="367"/>
      <c r="G701" s="367"/>
      <c r="H701" s="366"/>
      <c r="I701" s="366"/>
      <c r="J701" s="368"/>
      <c r="K701" s="368"/>
    </row>
    <row r="702" spans="1:11" ht="15">
      <c r="A702" s="341"/>
      <c r="B702" s="365"/>
      <c r="C702" s="365"/>
      <c r="D702" s="366"/>
      <c r="E702" s="366"/>
      <c r="F702" s="367"/>
      <c r="G702" s="367"/>
      <c r="H702" s="366"/>
      <c r="I702" s="366"/>
      <c r="J702" s="368"/>
      <c r="K702" s="368"/>
    </row>
    <row r="703" spans="1:11" ht="15">
      <c r="A703" s="341"/>
      <c r="B703" s="365"/>
      <c r="C703" s="365"/>
      <c r="D703" s="366"/>
      <c r="E703" s="366"/>
      <c r="F703" s="367"/>
      <c r="G703" s="367"/>
      <c r="H703" s="366"/>
      <c r="I703" s="366"/>
      <c r="J703" s="368"/>
      <c r="K703" s="368"/>
    </row>
    <row r="704" spans="1:11" ht="15">
      <c r="A704" s="341"/>
      <c r="B704" s="365"/>
      <c r="C704" s="365"/>
      <c r="D704" s="366"/>
      <c r="E704" s="366"/>
      <c r="F704" s="367"/>
      <c r="G704" s="367"/>
      <c r="H704" s="366"/>
      <c r="I704" s="366"/>
      <c r="J704" s="368"/>
      <c r="K704" s="368"/>
    </row>
    <row r="705" spans="1:11" ht="15">
      <c r="A705" s="341"/>
      <c r="B705" s="365"/>
      <c r="C705" s="365"/>
      <c r="D705" s="366"/>
      <c r="E705" s="366"/>
      <c r="F705" s="367"/>
      <c r="G705" s="367"/>
      <c r="H705" s="366"/>
      <c r="I705" s="366"/>
      <c r="J705" s="368"/>
      <c r="K705" s="368"/>
    </row>
    <row r="706" spans="1:11" ht="15">
      <c r="A706" s="341"/>
      <c r="B706" s="365"/>
      <c r="C706" s="365"/>
      <c r="D706" s="366"/>
      <c r="E706" s="366"/>
      <c r="F706" s="367"/>
      <c r="G706" s="367"/>
      <c r="H706" s="366"/>
      <c r="I706" s="366"/>
      <c r="J706" s="368"/>
      <c r="K706" s="368"/>
    </row>
    <row r="707" spans="1:11" ht="15">
      <c r="A707" s="341"/>
      <c r="B707" s="365"/>
      <c r="C707" s="365"/>
      <c r="D707" s="366"/>
      <c r="E707" s="366"/>
      <c r="F707" s="367"/>
      <c r="G707" s="367"/>
      <c r="H707" s="366"/>
      <c r="I707" s="366"/>
      <c r="J707" s="368"/>
      <c r="K707" s="368"/>
    </row>
    <row r="708" spans="1:11" ht="15">
      <c r="A708" s="341"/>
      <c r="B708" s="365"/>
      <c r="C708" s="365"/>
      <c r="D708" s="366"/>
      <c r="E708" s="366"/>
      <c r="F708" s="367"/>
      <c r="G708" s="367"/>
      <c r="H708" s="366"/>
      <c r="I708" s="366"/>
      <c r="J708" s="368"/>
      <c r="K708" s="368"/>
    </row>
    <row r="709" spans="1:11" ht="15">
      <c r="A709" s="341"/>
      <c r="B709" s="365"/>
      <c r="C709" s="365"/>
      <c r="D709" s="366"/>
      <c r="E709" s="366"/>
      <c r="F709" s="367"/>
      <c r="G709" s="367"/>
      <c r="H709" s="366"/>
      <c r="I709" s="366"/>
      <c r="J709" s="368"/>
      <c r="K709" s="368"/>
    </row>
    <row r="710" spans="1:11" ht="15">
      <c r="A710" s="341"/>
      <c r="B710" s="365"/>
      <c r="C710" s="365"/>
      <c r="D710" s="366"/>
      <c r="E710" s="366"/>
      <c r="F710" s="367"/>
      <c r="G710" s="367"/>
      <c r="H710" s="366"/>
      <c r="I710" s="366"/>
      <c r="J710" s="368"/>
      <c r="K710" s="368"/>
    </row>
    <row r="711" spans="1:11" ht="15">
      <c r="A711" s="341"/>
      <c r="B711" s="365"/>
      <c r="C711" s="365"/>
      <c r="D711" s="366"/>
      <c r="E711" s="366"/>
      <c r="F711" s="367"/>
      <c r="G711" s="367"/>
      <c r="H711" s="366"/>
      <c r="I711" s="366"/>
      <c r="J711" s="368"/>
      <c r="K711" s="368"/>
    </row>
    <row r="712" spans="1:11" ht="15">
      <c r="A712" s="341"/>
      <c r="B712" s="365"/>
      <c r="C712" s="365"/>
      <c r="D712" s="366"/>
      <c r="E712" s="366"/>
      <c r="F712" s="367"/>
      <c r="G712" s="367"/>
      <c r="H712" s="366"/>
      <c r="I712" s="366"/>
      <c r="J712" s="368"/>
      <c r="K712" s="368"/>
    </row>
    <row r="713" spans="1:11" ht="15">
      <c r="A713" s="341"/>
      <c r="B713" s="365"/>
      <c r="C713" s="365"/>
      <c r="D713" s="366"/>
      <c r="E713" s="366"/>
      <c r="F713" s="367"/>
      <c r="G713" s="367"/>
      <c r="H713" s="366"/>
      <c r="I713" s="366"/>
      <c r="J713" s="368"/>
      <c r="K713" s="368"/>
    </row>
    <row r="714" spans="1:11" ht="15">
      <c r="A714" s="341"/>
      <c r="B714" s="365"/>
      <c r="C714" s="365"/>
      <c r="D714" s="366"/>
      <c r="E714" s="366"/>
      <c r="F714" s="367"/>
      <c r="G714" s="367"/>
      <c r="H714" s="366"/>
      <c r="I714" s="366"/>
      <c r="J714" s="368"/>
      <c r="K714" s="368"/>
    </row>
    <row r="715" spans="1:11" ht="15">
      <c r="A715" s="341"/>
      <c r="B715" s="365"/>
      <c r="C715" s="365"/>
      <c r="D715" s="366"/>
      <c r="E715" s="366"/>
      <c r="F715" s="367"/>
      <c r="G715" s="367"/>
      <c r="H715" s="366"/>
      <c r="I715" s="366"/>
      <c r="J715" s="368"/>
      <c r="K715" s="368"/>
    </row>
    <row r="716" spans="1:11" ht="15">
      <c r="A716" s="341"/>
      <c r="B716" s="365"/>
      <c r="C716" s="365"/>
      <c r="D716" s="366"/>
      <c r="E716" s="366"/>
      <c r="F716" s="367"/>
      <c r="G716" s="367"/>
      <c r="H716" s="366"/>
      <c r="I716" s="366"/>
      <c r="J716" s="368"/>
      <c r="K716" s="368"/>
    </row>
    <row r="717" spans="1:11" ht="15">
      <c r="A717" s="341"/>
      <c r="B717" s="365"/>
      <c r="C717" s="365"/>
      <c r="D717" s="366"/>
      <c r="E717" s="366"/>
      <c r="F717" s="367"/>
      <c r="G717" s="367"/>
      <c r="H717" s="366"/>
      <c r="I717" s="366"/>
      <c r="J717" s="368"/>
      <c r="K717" s="368"/>
    </row>
    <row r="718" spans="1:11" ht="15">
      <c r="A718" s="341"/>
      <c r="B718" s="365"/>
      <c r="C718" s="365"/>
      <c r="D718" s="366"/>
      <c r="E718" s="366"/>
      <c r="F718" s="367"/>
      <c r="G718" s="367"/>
      <c r="H718" s="366"/>
      <c r="I718" s="366"/>
      <c r="J718" s="368"/>
      <c r="K718" s="368"/>
    </row>
    <row r="719" spans="1:11" ht="15">
      <c r="A719" s="341"/>
      <c r="B719" s="365"/>
      <c r="C719" s="365"/>
      <c r="D719" s="366"/>
      <c r="E719" s="366"/>
      <c r="F719" s="367"/>
      <c r="G719" s="367"/>
      <c r="H719" s="366"/>
      <c r="I719" s="366"/>
      <c r="J719" s="368"/>
      <c r="K719" s="368"/>
    </row>
    <row r="720" spans="1:11" ht="15">
      <c r="A720" s="341"/>
      <c r="B720" s="365"/>
      <c r="C720" s="365"/>
      <c r="D720" s="366"/>
      <c r="E720" s="366"/>
      <c r="F720" s="367"/>
      <c r="G720" s="367"/>
      <c r="H720" s="366"/>
      <c r="I720" s="366"/>
      <c r="J720" s="368"/>
      <c r="K720" s="368"/>
    </row>
    <row r="721" spans="1:11" ht="15">
      <c r="A721" s="341"/>
      <c r="B721" s="365"/>
      <c r="C721" s="365"/>
      <c r="D721" s="366"/>
      <c r="E721" s="366"/>
      <c r="F721" s="367"/>
      <c r="G721" s="367"/>
      <c r="H721" s="366"/>
      <c r="I721" s="366"/>
      <c r="J721" s="368"/>
      <c r="K721" s="368"/>
    </row>
    <row r="722" spans="1:11" ht="15">
      <c r="A722" s="341"/>
      <c r="B722" s="365"/>
      <c r="C722" s="365"/>
      <c r="D722" s="366"/>
      <c r="E722" s="366"/>
      <c r="F722" s="367"/>
      <c r="G722" s="367"/>
      <c r="H722" s="366"/>
      <c r="I722" s="366"/>
      <c r="J722" s="368"/>
      <c r="K722" s="368"/>
    </row>
    <row r="723" spans="1:11" ht="15">
      <c r="A723" s="341"/>
      <c r="B723" s="365"/>
      <c r="C723" s="365"/>
      <c r="D723" s="366"/>
      <c r="E723" s="366"/>
      <c r="F723" s="367"/>
      <c r="G723" s="367"/>
      <c r="H723" s="366"/>
      <c r="I723" s="366"/>
      <c r="J723" s="368"/>
      <c r="K723" s="368"/>
    </row>
    <row r="724" spans="1:11" ht="15">
      <c r="A724" s="341"/>
      <c r="B724" s="365"/>
      <c r="C724" s="365"/>
      <c r="D724" s="366"/>
      <c r="E724" s="366"/>
      <c r="F724" s="367"/>
      <c r="G724" s="367"/>
      <c r="H724" s="366"/>
      <c r="I724" s="366"/>
      <c r="J724" s="368"/>
      <c r="K724" s="368"/>
    </row>
    <row r="725" spans="1:11" ht="15">
      <c r="A725" s="341"/>
      <c r="B725" s="365"/>
      <c r="C725" s="365"/>
      <c r="D725" s="366"/>
      <c r="E725" s="366"/>
      <c r="F725" s="367"/>
      <c r="G725" s="367"/>
      <c r="H725" s="366"/>
      <c r="I725" s="366"/>
      <c r="J725" s="368"/>
      <c r="K725" s="368"/>
    </row>
    <row r="726" spans="1:11" ht="15">
      <c r="A726" s="341"/>
      <c r="B726" s="365"/>
      <c r="C726" s="365"/>
      <c r="D726" s="366"/>
      <c r="E726" s="366"/>
      <c r="F726" s="367"/>
      <c r="G726" s="367"/>
      <c r="H726" s="366"/>
      <c r="I726" s="366"/>
      <c r="J726" s="368"/>
      <c r="K726" s="368"/>
    </row>
    <row r="727" spans="1:11" ht="15">
      <c r="A727" s="341"/>
      <c r="B727" s="365"/>
      <c r="C727" s="365"/>
      <c r="D727" s="366"/>
      <c r="E727" s="366"/>
      <c r="F727" s="367"/>
      <c r="G727" s="367"/>
      <c r="H727" s="366"/>
      <c r="I727" s="366"/>
      <c r="J727" s="368"/>
      <c r="K727" s="368"/>
    </row>
    <row r="728" spans="1:11" ht="15">
      <c r="A728" s="341"/>
      <c r="B728" s="365"/>
      <c r="C728" s="365"/>
      <c r="D728" s="366"/>
      <c r="E728" s="366"/>
      <c r="F728" s="367"/>
      <c r="G728" s="367"/>
      <c r="H728" s="366"/>
      <c r="I728" s="366"/>
      <c r="J728" s="368"/>
      <c r="K728" s="368"/>
    </row>
    <row r="729" spans="1:11" ht="15">
      <c r="A729" s="341"/>
      <c r="B729" s="365"/>
      <c r="C729" s="365"/>
      <c r="D729" s="366"/>
      <c r="E729" s="366"/>
      <c r="F729" s="367"/>
      <c r="G729" s="367"/>
      <c r="H729" s="366"/>
      <c r="I729" s="366"/>
      <c r="J729" s="368"/>
      <c r="K729" s="368"/>
    </row>
    <row r="730" spans="1:11" ht="15">
      <c r="A730" s="341"/>
      <c r="B730" s="365"/>
      <c r="C730" s="365"/>
      <c r="D730" s="366"/>
      <c r="E730" s="366"/>
      <c r="F730" s="367"/>
      <c r="G730" s="367"/>
      <c r="H730" s="366"/>
      <c r="I730" s="366"/>
      <c r="J730" s="368"/>
      <c r="K730" s="368"/>
    </row>
    <row r="731" spans="1:11" ht="15">
      <c r="A731" s="341"/>
      <c r="B731" s="365"/>
      <c r="C731" s="365"/>
      <c r="D731" s="366"/>
      <c r="E731" s="366"/>
      <c r="F731" s="367"/>
      <c r="G731" s="367"/>
      <c r="H731" s="366"/>
      <c r="I731" s="366"/>
      <c r="J731" s="368"/>
      <c r="K731" s="368"/>
    </row>
    <row r="732" spans="1:11" ht="15">
      <c r="A732" s="341"/>
      <c r="B732" s="365"/>
      <c r="C732" s="365"/>
      <c r="D732" s="366"/>
      <c r="E732" s="366"/>
      <c r="F732" s="367"/>
      <c r="G732" s="367"/>
      <c r="H732" s="366"/>
      <c r="I732" s="366"/>
      <c r="J732" s="368"/>
      <c r="K732" s="368"/>
    </row>
    <row r="733" spans="1:11" ht="15">
      <c r="A733" s="341"/>
      <c r="B733" s="365"/>
      <c r="C733" s="365"/>
      <c r="D733" s="366"/>
      <c r="E733" s="366"/>
      <c r="F733" s="367"/>
      <c r="G733" s="367"/>
      <c r="H733" s="366"/>
      <c r="I733" s="366"/>
      <c r="J733" s="368"/>
      <c r="K733" s="368"/>
    </row>
    <row r="734" spans="1:11" ht="15">
      <c r="A734" s="341"/>
      <c r="B734" s="365"/>
      <c r="C734" s="365"/>
      <c r="D734" s="366"/>
      <c r="E734" s="366"/>
      <c r="F734" s="367"/>
      <c r="G734" s="367"/>
      <c r="H734" s="366"/>
      <c r="I734" s="366"/>
      <c r="J734" s="368"/>
      <c r="K734" s="368"/>
    </row>
    <row r="735" spans="1:11" ht="15">
      <c r="A735" s="341"/>
      <c r="B735" s="365"/>
      <c r="C735" s="365"/>
      <c r="D735" s="366"/>
      <c r="E735" s="366"/>
      <c r="F735" s="367"/>
      <c r="G735" s="367"/>
      <c r="H735" s="366"/>
      <c r="I735" s="366"/>
      <c r="J735" s="368"/>
      <c r="K735" s="368"/>
    </row>
    <row r="736" spans="1:11" ht="15">
      <c r="A736" s="341"/>
      <c r="B736" s="365"/>
      <c r="C736" s="365"/>
      <c r="D736" s="366"/>
      <c r="E736" s="366"/>
      <c r="F736" s="367"/>
      <c r="G736" s="367"/>
      <c r="H736" s="366"/>
      <c r="I736" s="366"/>
      <c r="J736" s="368"/>
      <c r="K736" s="368"/>
    </row>
    <row r="737" spans="1:11" ht="15">
      <c r="A737" s="341"/>
      <c r="B737" s="365"/>
      <c r="C737" s="365"/>
      <c r="D737" s="366"/>
      <c r="E737" s="366"/>
      <c r="F737" s="367"/>
      <c r="G737" s="367"/>
      <c r="H737" s="366"/>
      <c r="I737" s="366"/>
      <c r="J737" s="368"/>
      <c r="K737" s="368"/>
    </row>
    <row r="738" spans="1:11" ht="15">
      <c r="A738" s="341"/>
      <c r="B738" s="365"/>
      <c r="C738" s="365"/>
      <c r="D738" s="366"/>
      <c r="E738" s="366"/>
      <c r="F738" s="367"/>
      <c r="G738" s="367"/>
      <c r="H738" s="366"/>
      <c r="I738" s="366"/>
      <c r="J738" s="368"/>
      <c r="K738" s="368"/>
    </row>
    <row r="739" spans="1:11" ht="15">
      <c r="A739" s="341"/>
      <c r="B739" s="365"/>
      <c r="C739" s="365"/>
      <c r="D739" s="366"/>
      <c r="E739" s="366"/>
      <c r="F739" s="367"/>
      <c r="G739" s="367"/>
      <c r="H739" s="366"/>
      <c r="I739" s="366"/>
      <c r="J739" s="368"/>
      <c r="K739" s="368"/>
    </row>
    <row r="740" spans="1:11" ht="15">
      <c r="A740" s="341"/>
      <c r="B740" s="365"/>
      <c r="C740" s="365"/>
      <c r="D740" s="366"/>
      <c r="E740" s="366"/>
      <c r="F740" s="367"/>
      <c r="G740" s="367"/>
      <c r="H740" s="366"/>
      <c r="I740" s="366"/>
      <c r="J740" s="368"/>
      <c r="K740" s="368"/>
    </row>
    <row r="741" spans="1:11" ht="15">
      <c r="A741" s="341"/>
      <c r="B741" s="365"/>
      <c r="C741" s="365"/>
      <c r="D741" s="366"/>
      <c r="E741" s="366"/>
      <c r="F741" s="367"/>
      <c r="G741" s="367"/>
      <c r="H741" s="366"/>
      <c r="I741" s="366"/>
      <c r="J741" s="368"/>
      <c r="K741" s="368"/>
    </row>
    <row r="742" spans="1:11" ht="15">
      <c r="A742" s="341"/>
      <c r="B742" s="365"/>
      <c r="C742" s="365"/>
      <c r="D742" s="366"/>
      <c r="E742" s="366"/>
      <c r="F742" s="367"/>
      <c r="G742" s="367"/>
      <c r="H742" s="366"/>
      <c r="I742" s="366"/>
      <c r="J742" s="368"/>
      <c r="K742" s="368"/>
    </row>
    <row r="743" spans="1:11" ht="15">
      <c r="A743" s="341"/>
      <c r="B743" s="365"/>
      <c r="C743" s="365"/>
      <c r="D743" s="366"/>
      <c r="E743" s="366"/>
      <c r="F743" s="367"/>
      <c r="G743" s="367"/>
      <c r="H743" s="366"/>
      <c r="I743" s="366"/>
      <c r="J743" s="368"/>
      <c r="K743" s="368"/>
    </row>
    <row r="744" spans="1:11" ht="15">
      <c r="A744" s="341"/>
      <c r="B744" s="365"/>
      <c r="C744" s="365"/>
      <c r="D744" s="366"/>
      <c r="E744" s="366"/>
      <c r="F744" s="367"/>
      <c r="G744" s="367"/>
      <c r="H744" s="366"/>
      <c r="I744" s="366"/>
      <c r="J744" s="368"/>
      <c r="K744" s="368"/>
    </row>
    <row r="745" spans="1:11" ht="15">
      <c r="A745" s="341"/>
      <c r="B745" s="365"/>
      <c r="C745" s="365"/>
      <c r="D745" s="366"/>
      <c r="E745" s="366"/>
      <c r="F745" s="367"/>
      <c r="G745" s="367"/>
      <c r="H745" s="366"/>
      <c r="I745" s="366"/>
      <c r="J745" s="368"/>
      <c r="K745" s="368"/>
    </row>
    <row r="746" spans="1:11" ht="15">
      <c r="A746" s="341"/>
      <c r="B746" s="365"/>
      <c r="C746" s="365"/>
      <c r="D746" s="366"/>
      <c r="E746" s="366"/>
      <c r="F746" s="367"/>
      <c r="G746" s="367"/>
      <c r="H746" s="366"/>
      <c r="I746" s="366"/>
      <c r="J746" s="368"/>
      <c r="K746" s="368"/>
    </row>
    <row r="747" spans="1:11" ht="15">
      <c r="A747" s="341"/>
      <c r="B747" s="365"/>
      <c r="C747" s="365"/>
      <c r="D747" s="366"/>
      <c r="E747" s="366"/>
      <c r="F747" s="367"/>
      <c r="G747" s="367"/>
      <c r="H747" s="366"/>
      <c r="I747" s="366"/>
      <c r="J747" s="368"/>
      <c r="K747" s="368"/>
    </row>
    <row r="748" spans="1:11" ht="15">
      <c r="A748" s="341"/>
      <c r="B748" s="365"/>
      <c r="C748" s="365"/>
      <c r="D748" s="366"/>
      <c r="E748" s="366"/>
      <c r="F748" s="367"/>
      <c r="G748" s="367"/>
      <c r="H748" s="366"/>
      <c r="I748" s="366"/>
      <c r="J748" s="368"/>
      <c r="K748" s="368"/>
    </row>
    <row r="749" spans="1:11" ht="15">
      <c r="A749" s="341"/>
      <c r="B749" s="365"/>
      <c r="C749" s="365"/>
      <c r="D749" s="366"/>
      <c r="E749" s="366"/>
      <c r="F749" s="367"/>
      <c r="G749" s="367"/>
      <c r="H749" s="366"/>
      <c r="I749" s="366"/>
      <c r="J749" s="368"/>
      <c r="K749" s="368"/>
    </row>
    <row r="750" spans="1:11" ht="15">
      <c r="A750" s="341"/>
      <c r="B750" s="365"/>
      <c r="C750" s="365"/>
      <c r="D750" s="366"/>
      <c r="E750" s="366"/>
      <c r="F750" s="367"/>
      <c r="G750" s="367"/>
      <c r="H750" s="366"/>
      <c r="I750" s="366"/>
      <c r="J750" s="368"/>
      <c r="K750" s="368"/>
    </row>
    <row r="751" spans="1:11" ht="15">
      <c r="A751" s="341"/>
      <c r="B751" s="365"/>
      <c r="C751" s="365"/>
      <c r="D751" s="366"/>
      <c r="E751" s="366"/>
      <c r="F751" s="367"/>
      <c r="G751" s="367"/>
      <c r="H751" s="366"/>
      <c r="I751" s="366"/>
      <c r="J751" s="368"/>
      <c r="K751" s="368"/>
    </row>
    <row r="752" spans="1:11" ht="15">
      <c r="A752" s="341"/>
      <c r="B752" s="365"/>
      <c r="C752" s="365"/>
      <c r="D752" s="366"/>
      <c r="E752" s="366"/>
      <c r="F752" s="367"/>
      <c r="G752" s="367"/>
      <c r="H752" s="366"/>
      <c r="I752" s="366"/>
      <c r="J752" s="368"/>
      <c r="K752" s="368"/>
    </row>
    <row r="753" spans="1:11" ht="15">
      <c r="A753" s="341"/>
      <c r="B753" s="365"/>
      <c r="C753" s="365"/>
      <c r="D753" s="366"/>
      <c r="E753" s="366"/>
      <c r="F753" s="367"/>
      <c r="G753" s="367"/>
      <c r="H753" s="366"/>
      <c r="I753" s="366"/>
      <c r="J753" s="368"/>
      <c r="K753" s="368"/>
    </row>
    <row r="754" spans="1:11" ht="15">
      <c r="A754" s="341"/>
      <c r="B754" s="365"/>
      <c r="C754" s="365"/>
      <c r="D754" s="366"/>
      <c r="E754" s="366"/>
      <c r="F754" s="367"/>
      <c r="G754" s="367"/>
      <c r="H754" s="366"/>
      <c r="I754" s="366"/>
      <c r="J754" s="368"/>
      <c r="K754" s="368"/>
    </row>
    <row r="755" spans="1:11" ht="15">
      <c r="A755" s="341"/>
      <c r="B755" s="365"/>
      <c r="C755" s="365"/>
      <c r="D755" s="366"/>
      <c r="E755" s="366"/>
      <c r="F755" s="367"/>
      <c r="G755" s="367"/>
      <c r="H755" s="366"/>
      <c r="I755" s="366"/>
      <c r="J755" s="368"/>
      <c r="K755" s="368"/>
    </row>
    <row r="756" spans="1:11" ht="15">
      <c r="A756" s="341"/>
      <c r="B756" s="365"/>
      <c r="C756" s="365"/>
      <c r="D756" s="366"/>
      <c r="E756" s="366"/>
      <c r="F756" s="367"/>
      <c r="G756" s="367"/>
      <c r="H756" s="366"/>
      <c r="I756" s="366"/>
      <c r="J756" s="368"/>
      <c r="K756" s="368"/>
    </row>
    <row r="757" spans="1:11" ht="15">
      <c r="A757" s="341"/>
      <c r="B757" s="365"/>
      <c r="C757" s="365"/>
      <c r="D757" s="366"/>
      <c r="E757" s="366"/>
      <c r="F757" s="367"/>
      <c r="G757" s="367"/>
      <c r="H757" s="366"/>
      <c r="I757" s="366"/>
      <c r="J757" s="368"/>
      <c r="K757" s="368"/>
    </row>
    <row r="758" spans="1:11" ht="15">
      <c r="A758" s="341"/>
      <c r="B758" s="365"/>
      <c r="C758" s="365"/>
      <c r="D758" s="366"/>
      <c r="E758" s="366"/>
      <c r="F758" s="367"/>
      <c r="G758" s="367"/>
      <c r="H758" s="366"/>
      <c r="I758" s="366"/>
      <c r="J758" s="368"/>
      <c r="K758" s="368"/>
    </row>
    <row r="759" spans="1:11" ht="15">
      <c r="A759" s="341"/>
      <c r="B759" s="365"/>
      <c r="C759" s="365"/>
      <c r="D759" s="366"/>
      <c r="E759" s="366"/>
      <c r="F759" s="367"/>
      <c r="G759" s="367"/>
      <c r="H759" s="366"/>
      <c r="I759" s="366"/>
      <c r="J759" s="368"/>
      <c r="K759" s="368"/>
    </row>
    <row r="760" spans="1:11" ht="15">
      <c r="A760" s="341"/>
      <c r="B760" s="365"/>
      <c r="C760" s="365"/>
      <c r="D760" s="366"/>
      <c r="E760" s="366"/>
      <c r="F760" s="367"/>
      <c r="G760" s="367"/>
      <c r="H760" s="366"/>
      <c r="I760" s="366"/>
      <c r="J760" s="368"/>
      <c r="K760" s="368"/>
    </row>
    <row r="761" spans="1:11" ht="15">
      <c r="A761" s="341"/>
      <c r="B761" s="365"/>
      <c r="C761" s="365"/>
      <c r="D761" s="366"/>
      <c r="E761" s="366"/>
      <c r="F761" s="367"/>
      <c r="G761" s="367"/>
      <c r="H761" s="366"/>
      <c r="I761" s="366"/>
      <c r="J761" s="368"/>
      <c r="K761" s="368"/>
    </row>
    <row r="762" spans="1:11" ht="15">
      <c r="A762" s="341"/>
      <c r="B762" s="365"/>
      <c r="C762" s="365"/>
      <c r="D762" s="366"/>
      <c r="E762" s="366"/>
      <c r="F762" s="367"/>
      <c r="G762" s="367"/>
      <c r="H762" s="366"/>
      <c r="I762" s="366"/>
      <c r="J762" s="368"/>
      <c r="K762" s="368"/>
    </row>
    <row r="763" spans="1:11" ht="15">
      <c r="A763" s="341"/>
      <c r="B763" s="365"/>
      <c r="C763" s="365"/>
      <c r="D763" s="366"/>
      <c r="E763" s="366"/>
      <c r="F763" s="367"/>
      <c r="G763" s="367"/>
      <c r="H763" s="366"/>
      <c r="I763" s="366"/>
      <c r="J763" s="368"/>
      <c r="K763" s="368"/>
    </row>
    <row r="764" spans="1:11" ht="15">
      <c r="A764" s="341"/>
      <c r="B764" s="365"/>
      <c r="C764" s="365"/>
      <c r="D764" s="366"/>
      <c r="E764" s="366"/>
      <c r="F764" s="367"/>
      <c r="G764" s="367"/>
      <c r="H764" s="366"/>
      <c r="I764" s="366"/>
      <c r="J764" s="368"/>
      <c r="K764" s="368"/>
    </row>
    <row r="765" spans="1:11" ht="15">
      <c r="A765" s="341"/>
      <c r="B765" s="365"/>
      <c r="C765" s="365"/>
      <c r="D765" s="366"/>
      <c r="E765" s="366"/>
      <c r="F765" s="367"/>
      <c r="G765" s="367"/>
      <c r="H765" s="366"/>
      <c r="I765" s="366"/>
      <c r="J765" s="368"/>
      <c r="K765" s="368"/>
    </row>
    <row r="766" spans="1:11" ht="15">
      <c r="A766" s="341"/>
      <c r="B766" s="365"/>
      <c r="C766" s="365"/>
      <c r="D766" s="366"/>
      <c r="E766" s="366"/>
      <c r="F766" s="367"/>
      <c r="G766" s="367"/>
      <c r="H766" s="366"/>
      <c r="I766" s="366"/>
      <c r="J766" s="368"/>
      <c r="K766" s="368"/>
    </row>
    <row r="767" spans="1:11" ht="15">
      <c r="A767" s="341"/>
      <c r="B767" s="365"/>
      <c r="C767" s="365"/>
      <c r="D767" s="366"/>
      <c r="E767" s="366"/>
      <c r="F767" s="367"/>
      <c r="G767" s="367"/>
      <c r="H767" s="366"/>
      <c r="I767" s="366"/>
      <c r="J767" s="368"/>
      <c r="K767" s="368"/>
    </row>
    <row r="768" spans="1:11" ht="15">
      <c r="A768" s="341"/>
      <c r="B768" s="365"/>
      <c r="C768" s="365"/>
      <c r="D768" s="366"/>
      <c r="E768" s="366"/>
      <c r="F768" s="367"/>
      <c r="G768" s="367"/>
      <c r="H768" s="366"/>
      <c r="I768" s="366"/>
      <c r="J768" s="368"/>
      <c r="K768" s="368"/>
    </row>
    <row r="769" spans="1:11" ht="15">
      <c r="A769" s="341"/>
      <c r="B769" s="365"/>
      <c r="C769" s="365"/>
      <c r="D769" s="366"/>
      <c r="E769" s="366"/>
      <c r="F769" s="367"/>
      <c r="G769" s="367"/>
      <c r="H769" s="366"/>
      <c r="I769" s="366"/>
      <c r="J769" s="368"/>
      <c r="K769" s="368"/>
    </row>
    <row r="770" spans="1:11" ht="15">
      <c r="A770" s="341"/>
      <c r="B770" s="365"/>
      <c r="C770" s="365"/>
      <c r="D770" s="366"/>
      <c r="E770" s="366"/>
      <c r="F770" s="367"/>
      <c r="G770" s="367"/>
      <c r="H770" s="366"/>
      <c r="I770" s="366"/>
      <c r="J770" s="368"/>
      <c r="K770" s="368"/>
    </row>
    <row r="771" spans="1:11" ht="15">
      <c r="A771" s="341"/>
      <c r="B771" s="365"/>
      <c r="C771" s="365"/>
      <c r="D771" s="366"/>
      <c r="E771" s="366"/>
      <c r="F771" s="367"/>
      <c r="G771" s="367"/>
      <c r="H771" s="366"/>
      <c r="I771" s="366"/>
      <c r="J771" s="368"/>
      <c r="K771" s="368"/>
    </row>
    <row r="772" spans="1:11" ht="15">
      <c r="A772" s="341"/>
      <c r="B772" s="365"/>
      <c r="C772" s="365"/>
      <c r="D772" s="366"/>
      <c r="E772" s="366"/>
      <c r="F772" s="367"/>
      <c r="G772" s="367"/>
      <c r="H772" s="366"/>
      <c r="I772" s="366"/>
      <c r="J772" s="368"/>
      <c r="K772" s="368"/>
    </row>
    <row r="773" spans="1:11" ht="15">
      <c r="A773" s="341"/>
      <c r="B773" s="365"/>
      <c r="C773" s="365"/>
      <c r="D773" s="366"/>
      <c r="E773" s="366"/>
      <c r="F773" s="367"/>
      <c r="G773" s="367"/>
      <c r="H773" s="366"/>
      <c r="I773" s="366"/>
      <c r="J773" s="368"/>
      <c r="K773" s="368"/>
    </row>
    <row r="774" spans="1:11" ht="15">
      <c r="A774" s="341"/>
      <c r="B774" s="365"/>
      <c r="C774" s="365"/>
      <c r="D774" s="366"/>
      <c r="E774" s="366"/>
      <c r="F774" s="367"/>
      <c r="G774" s="367"/>
      <c r="H774" s="366"/>
      <c r="I774" s="366"/>
      <c r="J774" s="368"/>
      <c r="K774" s="368"/>
    </row>
    <row r="775" spans="1:11" ht="15">
      <c r="A775" s="341"/>
      <c r="B775" s="365"/>
      <c r="C775" s="365"/>
      <c r="D775" s="366"/>
      <c r="E775" s="366"/>
      <c r="F775" s="367"/>
      <c r="G775" s="367"/>
      <c r="H775" s="366"/>
      <c r="I775" s="366"/>
      <c r="J775" s="368"/>
      <c r="K775" s="368"/>
    </row>
    <row r="776" spans="1:11" ht="15">
      <c r="A776" s="341"/>
      <c r="B776" s="365"/>
      <c r="C776" s="365"/>
      <c r="D776" s="366"/>
      <c r="E776" s="366"/>
      <c r="F776" s="367"/>
      <c r="G776" s="367"/>
      <c r="H776" s="366"/>
      <c r="I776" s="366"/>
      <c r="J776" s="368"/>
      <c r="K776" s="368"/>
    </row>
    <row r="777" spans="1:11" ht="15">
      <c r="A777" s="341"/>
      <c r="B777" s="365"/>
      <c r="C777" s="365"/>
      <c r="D777" s="366"/>
      <c r="E777" s="366"/>
      <c r="F777" s="367"/>
      <c r="G777" s="367"/>
      <c r="H777" s="366"/>
      <c r="I777" s="366"/>
      <c r="J777" s="368"/>
      <c r="K777" s="368"/>
    </row>
    <row r="778" spans="1:11" ht="15">
      <c r="A778" s="341"/>
      <c r="B778" s="365"/>
      <c r="C778" s="365"/>
      <c r="D778" s="366"/>
      <c r="E778" s="366"/>
      <c r="F778" s="367"/>
      <c r="G778" s="367"/>
      <c r="H778" s="366"/>
      <c r="I778" s="366"/>
      <c r="J778" s="368"/>
      <c r="K778" s="368"/>
    </row>
    <row r="779" spans="1:11" ht="15">
      <c r="A779" s="341"/>
      <c r="B779" s="365"/>
      <c r="C779" s="365"/>
      <c r="D779" s="366"/>
      <c r="E779" s="366"/>
      <c r="F779" s="367"/>
      <c r="G779" s="367"/>
      <c r="H779" s="366"/>
      <c r="I779" s="366"/>
      <c r="J779" s="368"/>
      <c r="K779" s="368"/>
    </row>
    <row r="780" spans="1:11" ht="15">
      <c r="A780" s="341"/>
      <c r="B780" s="365"/>
      <c r="C780" s="365"/>
      <c r="D780" s="366"/>
      <c r="E780" s="366"/>
      <c r="F780" s="367"/>
      <c r="G780" s="367"/>
      <c r="H780" s="366"/>
      <c r="I780" s="366"/>
      <c r="J780" s="368"/>
      <c r="K780" s="368"/>
    </row>
    <row r="781" spans="1:11" ht="15">
      <c r="A781" s="341"/>
      <c r="B781" s="365"/>
      <c r="C781" s="365"/>
      <c r="D781" s="366"/>
      <c r="E781" s="366"/>
      <c r="F781" s="367"/>
      <c r="G781" s="367"/>
      <c r="H781" s="366"/>
      <c r="I781" s="366"/>
      <c r="J781" s="368"/>
      <c r="K781" s="368"/>
    </row>
    <row r="782" spans="1:11" ht="15">
      <c r="A782" s="341"/>
      <c r="B782" s="365"/>
      <c r="C782" s="365"/>
      <c r="D782" s="366"/>
      <c r="E782" s="366"/>
      <c r="F782" s="367"/>
      <c r="G782" s="367"/>
      <c r="H782" s="366"/>
      <c r="I782" s="366"/>
      <c r="J782" s="368"/>
      <c r="K782" s="368"/>
    </row>
    <row r="783" spans="1:11" ht="15">
      <c r="A783" s="341"/>
      <c r="B783" s="365"/>
      <c r="C783" s="365"/>
      <c r="D783" s="366"/>
      <c r="E783" s="366"/>
      <c r="F783" s="367"/>
      <c r="G783" s="367"/>
      <c r="H783" s="366"/>
      <c r="I783" s="366"/>
      <c r="J783" s="368"/>
      <c r="K783" s="368"/>
    </row>
    <row r="784" spans="1:11" ht="15">
      <c r="A784" s="341"/>
      <c r="B784" s="365"/>
      <c r="C784" s="365"/>
      <c r="D784" s="366"/>
      <c r="E784" s="366"/>
      <c r="F784" s="367"/>
      <c r="G784" s="367"/>
      <c r="H784" s="366"/>
      <c r="I784" s="366"/>
      <c r="J784" s="368"/>
      <c r="K784" s="368"/>
    </row>
    <row r="785" spans="1:11" ht="15">
      <c r="A785" s="341"/>
      <c r="B785" s="365"/>
      <c r="C785" s="365"/>
      <c r="D785" s="366"/>
      <c r="E785" s="366"/>
      <c r="F785" s="367"/>
      <c r="G785" s="367"/>
      <c r="H785" s="366"/>
      <c r="I785" s="366"/>
      <c r="J785" s="368"/>
      <c r="K785" s="368"/>
    </row>
    <row r="786" spans="1:11" ht="15">
      <c r="A786" s="341"/>
      <c r="B786" s="365"/>
      <c r="C786" s="365"/>
      <c r="D786" s="366"/>
      <c r="E786" s="366"/>
      <c r="F786" s="367"/>
      <c r="G786" s="367"/>
      <c r="H786" s="366"/>
      <c r="I786" s="366"/>
      <c r="J786" s="368"/>
      <c r="K786" s="368"/>
    </row>
    <row r="787" spans="1:11" ht="15">
      <c r="A787" s="341"/>
      <c r="B787" s="365"/>
      <c r="C787" s="365"/>
      <c r="D787" s="366"/>
      <c r="E787" s="366"/>
      <c r="F787" s="367"/>
      <c r="G787" s="367"/>
      <c r="H787" s="366"/>
      <c r="I787" s="366"/>
      <c r="J787" s="368"/>
      <c r="K787" s="368"/>
    </row>
    <row r="788" spans="1:11" ht="15">
      <c r="A788" s="341"/>
      <c r="B788" s="365"/>
      <c r="C788" s="365"/>
      <c r="D788" s="366"/>
      <c r="E788" s="366"/>
      <c r="F788" s="367"/>
      <c r="G788" s="367"/>
      <c r="H788" s="366"/>
      <c r="I788" s="366"/>
      <c r="J788" s="368"/>
      <c r="K788" s="368"/>
    </row>
    <row r="789" spans="1:11" ht="15">
      <c r="A789" s="341"/>
      <c r="B789" s="365"/>
      <c r="C789" s="365"/>
      <c r="D789" s="366"/>
      <c r="E789" s="366"/>
      <c r="F789" s="367"/>
      <c r="G789" s="367"/>
      <c r="H789" s="366"/>
      <c r="I789" s="366"/>
      <c r="J789" s="368"/>
      <c r="K789" s="368"/>
    </row>
    <row r="790" spans="1:11" ht="15">
      <c r="A790" s="341"/>
      <c r="B790" s="365"/>
      <c r="C790" s="365"/>
      <c r="D790" s="366"/>
      <c r="E790" s="366"/>
      <c r="F790" s="367"/>
      <c r="G790" s="367"/>
      <c r="H790" s="366"/>
      <c r="I790" s="366"/>
      <c r="J790" s="368"/>
      <c r="K790" s="368"/>
    </row>
    <row r="791" spans="1:11" ht="15">
      <c r="A791" s="341"/>
      <c r="B791" s="365"/>
      <c r="C791" s="365"/>
      <c r="D791" s="366"/>
      <c r="E791" s="366"/>
      <c r="F791" s="367"/>
      <c r="G791" s="367"/>
      <c r="H791" s="366"/>
      <c r="I791" s="366"/>
      <c r="J791" s="368"/>
      <c r="K791" s="368"/>
    </row>
    <row r="792" spans="1:11" ht="15">
      <c r="A792" s="341"/>
      <c r="B792" s="365"/>
      <c r="C792" s="365"/>
      <c r="D792" s="366"/>
      <c r="E792" s="366"/>
      <c r="F792" s="367"/>
      <c r="G792" s="367"/>
      <c r="H792" s="366"/>
      <c r="I792" s="366"/>
      <c r="J792" s="368"/>
      <c r="K792" s="368"/>
    </row>
    <row r="793" spans="1:11" ht="15">
      <c r="A793" s="341"/>
      <c r="B793" s="365"/>
      <c r="C793" s="365"/>
      <c r="D793" s="366"/>
      <c r="E793" s="366"/>
      <c r="F793" s="367"/>
      <c r="G793" s="367"/>
      <c r="H793" s="366"/>
      <c r="I793" s="366"/>
      <c r="J793" s="368"/>
      <c r="K793" s="368"/>
    </row>
    <row r="794" spans="1:11" ht="15">
      <c r="A794" s="341"/>
      <c r="B794" s="365"/>
      <c r="C794" s="365"/>
      <c r="D794" s="366"/>
      <c r="E794" s="366"/>
      <c r="F794" s="367"/>
      <c r="G794" s="367"/>
      <c r="H794" s="366"/>
      <c r="I794" s="366"/>
      <c r="J794" s="368"/>
      <c r="K794" s="368"/>
    </row>
    <row r="795" spans="1:11" ht="15">
      <c r="A795" s="341"/>
      <c r="B795" s="365"/>
      <c r="C795" s="365"/>
      <c r="D795" s="366"/>
      <c r="E795" s="366"/>
      <c r="F795" s="367"/>
      <c r="G795" s="367"/>
      <c r="H795" s="366"/>
      <c r="I795" s="366"/>
      <c r="J795" s="368"/>
      <c r="K795" s="368"/>
    </row>
    <row r="796" spans="1:11" ht="15">
      <c r="A796" s="341"/>
      <c r="B796" s="365"/>
      <c r="C796" s="365"/>
      <c r="D796" s="366"/>
      <c r="E796" s="366"/>
      <c r="F796" s="367"/>
      <c r="G796" s="367"/>
      <c r="H796" s="366"/>
      <c r="I796" s="366"/>
      <c r="J796" s="368"/>
      <c r="K796" s="368"/>
    </row>
    <row r="797" spans="1:11" ht="15">
      <c r="A797" s="341"/>
      <c r="B797" s="365"/>
      <c r="C797" s="365"/>
      <c r="D797" s="366"/>
      <c r="E797" s="366"/>
      <c r="F797" s="367"/>
      <c r="G797" s="367"/>
      <c r="H797" s="366"/>
      <c r="I797" s="366"/>
      <c r="J797" s="368"/>
      <c r="K797" s="368"/>
    </row>
    <row r="798" spans="1:11" ht="15">
      <c r="A798" s="341"/>
      <c r="B798" s="365"/>
      <c r="C798" s="365"/>
      <c r="D798" s="366"/>
      <c r="E798" s="366"/>
      <c r="F798" s="367"/>
      <c r="G798" s="367"/>
      <c r="H798" s="366"/>
      <c r="I798" s="366"/>
      <c r="J798" s="368"/>
      <c r="K798" s="368"/>
    </row>
    <row r="799" spans="1:11" ht="15">
      <c r="A799" s="341"/>
      <c r="B799" s="365"/>
      <c r="C799" s="365"/>
      <c r="D799" s="366"/>
      <c r="E799" s="366"/>
      <c r="F799" s="367"/>
      <c r="G799" s="367"/>
      <c r="H799" s="366"/>
      <c r="I799" s="366"/>
      <c r="J799" s="368"/>
      <c r="K799" s="368"/>
    </row>
    <row r="800" spans="1:11" ht="15">
      <c r="A800" s="341"/>
      <c r="B800" s="365"/>
      <c r="C800" s="365"/>
      <c r="D800" s="366"/>
      <c r="E800" s="366"/>
      <c r="F800" s="367"/>
      <c r="G800" s="367"/>
      <c r="H800" s="366"/>
      <c r="I800" s="366"/>
      <c r="J800" s="368"/>
      <c r="K800" s="368"/>
    </row>
    <row r="801" spans="1:11" ht="15">
      <c r="A801" s="341"/>
      <c r="B801" s="365"/>
      <c r="C801" s="365"/>
      <c r="D801" s="366"/>
      <c r="E801" s="366"/>
      <c r="F801" s="367"/>
      <c r="G801" s="367"/>
      <c r="H801" s="366"/>
      <c r="I801" s="366"/>
      <c r="J801" s="368"/>
      <c r="K801" s="368"/>
    </row>
    <row r="802" spans="1:11" ht="15">
      <c r="A802" s="341"/>
      <c r="B802" s="365"/>
      <c r="C802" s="365"/>
      <c r="D802" s="366"/>
      <c r="E802" s="366"/>
      <c r="F802" s="367"/>
      <c r="G802" s="367"/>
      <c r="H802" s="366"/>
      <c r="I802" s="366"/>
      <c r="J802" s="368"/>
      <c r="K802" s="368"/>
    </row>
    <row r="803" spans="1:11" ht="15">
      <c r="A803" s="341"/>
      <c r="B803" s="365"/>
      <c r="C803" s="365"/>
      <c r="D803" s="366"/>
      <c r="E803" s="366"/>
      <c r="F803" s="367"/>
      <c r="G803" s="367"/>
      <c r="H803" s="366"/>
      <c r="I803" s="366"/>
      <c r="J803" s="368"/>
      <c r="K803" s="368"/>
    </row>
    <row r="804" spans="1:11" ht="15">
      <c r="A804" s="341"/>
      <c r="B804" s="365"/>
      <c r="C804" s="365"/>
      <c r="D804" s="366"/>
      <c r="E804" s="366"/>
      <c r="F804" s="367"/>
      <c r="G804" s="367"/>
      <c r="H804" s="366"/>
      <c r="I804" s="366"/>
      <c r="J804" s="368"/>
      <c r="K804" s="368"/>
    </row>
    <row r="805" spans="1:11" ht="15">
      <c r="A805" s="341"/>
      <c r="B805" s="365"/>
      <c r="C805" s="365"/>
      <c r="D805" s="366"/>
      <c r="E805" s="366"/>
      <c r="F805" s="367"/>
      <c r="G805" s="367"/>
      <c r="H805" s="366"/>
      <c r="I805" s="366"/>
      <c r="J805" s="368"/>
      <c r="K805" s="368"/>
    </row>
    <row r="806" spans="1:11" ht="15">
      <c r="A806" s="341"/>
      <c r="B806" s="365"/>
      <c r="C806" s="365"/>
      <c r="D806" s="366"/>
      <c r="E806" s="366"/>
      <c r="F806" s="367"/>
      <c r="G806" s="367"/>
      <c r="H806" s="366"/>
      <c r="I806" s="366"/>
      <c r="J806" s="368"/>
      <c r="K806" s="368"/>
    </row>
    <row r="807" spans="1:11" ht="15">
      <c r="A807" s="341"/>
      <c r="B807" s="365"/>
      <c r="C807" s="365"/>
      <c r="D807" s="366"/>
      <c r="E807" s="366"/>
      <c r="F807" s="367"/>
      <c r="G807" s="367"/>
      <c r="H807" s="366"/>
      <c r="I807" s="366"/>
      <c r="J807" s="368"/>
      <c r="K807" s="368"/>
    </row>
    <row r="808" spans="1:11" ht="15">
      <c r="A808" s="341"/>
      <c r="B808" s="365"/>
      <c r="C808" s="365"/>
      <c r="D808" s="366"/>
      <c r="E808" s="366"/>
      <c r="F808" s="367"/>
      <c r="G808" s="367"/>
      <c r="H808" s="366"/>
      <c r="I808" s="366"/>
      <c r="J808" s="368"/>
      <c r="K808" s="368"/>
    </row>
    <row r="809" spans="1:11" ht="15">
      <c r="A809" s="341"/>
      <c r="B809" s="365"/>
      <c r="C809" s="365"/>
      <c r="D809" s="366"/>
      <c r="E809" s="366"/>
      <c r="F809" s="367"/>
      <c r="G809" s="367"/>
      <c r="H809" s="366"/>
      <c r="I809" s="366"/>
      <c r="J809" s="368"/>
      <c r="K809" s="368"/>
    </row>
    <row r="810" spans="1:11" ht="15">
      <c r="A810" s="341"/>
      <c r="B810" s="365"/>
      <c r="C810" s="365"/>
      <c r="D810" s="366"/>
      <c r="E810" s="366"/>
      <c r="F810" s="367"/>
      <c r="G810" s="367"/>
      <c r="H810" s="366"/>
      <c r="I810" s="366"/>
      <c r="J810" s="368"/>
      <c r="K810" s="368"/>
    </row>
    <row r="811" spans="1:11" ht="15">
      <c r="A811" s="341"/>
      <c r="B811" s="365"/>
      <c r="C811" s="365"/>
      <c r="D811" s="366"/>
      <c r="E811" s="366"/>
      <c r="F811" s="367"/>
      <c r="G811" s="367"/>
      <c r="H811" s="366"/>
      <c r="I811" s="366"/>
      <c r="J811" s="368"/>
      <c r="K811" s="368"/>
    </row>
    <row r="812" spans="1:11" ht="15">
      <c r="A812" s="341"/>
      <c r="B812" s="365"/>
      <c r="C812" s="365"/>
      <c r="D812" s="366"/>
      <c r="E812" s="366"/>
      <c r="F812" s="367"/>
      <c r="G812" s="367"/>
      <c r="H812" s="366"/>
      <c r="I812" s="366"/>
      <c r="J812" s="368"/>
      <c r="K812" s="368"/>
    </row>
    <row r="813" spans="1:11" ht="15">
      <c r="A813" s="341"/>
      <c r="B813" s="365"/>
      <c r="C813" s="365"/>
      <c r="D813" s="366"/>
      <c r="E813" s="366"/>
      <c r="F813" s="367"/>
      <c r="G813" s="367"/>
      <c r="H813" s="366"/>
      <c r="I813" s="366"/>
      <c r="J813" s="368"/>
      <c r="K813" s="368"/>
    </row>
    <row r="814" spans="1:11" ht="15">
      <c r="A814" s="341"/>
      <c r="B814" s="365"/>
      <c r="C814" s="365"/>
      <c r="D814" s="366"/>
      <c r="E814" s="366"/>
      <c r="F814" s="367"/>
      <c r="G814" s="367"/>
      <c r="H814" s="366"/>
      <c r="I814" s="366"/>
      <c r="J814" s="368"/>
      <c r="K814" s="368"/>
    </row>
    <row r="815" spans="1:11" ht="15">
      <c r="A815" s="341"/>
      <c r="B815" s="365"/>
      <c r="C815" s="365"/>
      <c r="D815" s="366"/>
      <c r="E815" s="366"/>
      <c r="F815" s="367"/>
      <c r="G815" s="367"/>
      <c r="H815" s="366"/>
      <c r="I815" s="366"/>
      <c r="J815" s="368"/>
      <c r="K815" s="368"/>
    </row>
    <row r="816" spans="1:11" ht="15">
      <c r="A816" s="341"/>
      <c r="B816" s="365"/>
      <c r="C816" s="365"/>
      <c r="D816" s="366"/>
      <c r="E816" s="366"/>
      <c r="F816" s="367"/>
      <c r="G816" s="367"/>
      <c r="H816" s="366"/>
      <c r="I816" s="366"/>
      <c r="J816" s="368"/>
      <c r="K816" s="368"/>
    </row>
    <row r="817" spans="1:11" ht="15">
      <c r="A817" s="341"/>
      <c r="B817" s="365"/>
      <c r="C817" s="365"/>
      <c r="D817" s="366"/>
      <c r="E817" s="366"/>
      <c r="F817" s="367"/>
      <c r="G817" s="367"/>
      <c r="H817" s="366"/>
      <c r="I817" s="366"/>
      <c r="J817" s="368"/>
      <c r="K817" s="368"/>
    </row>
    <row r="818" spans="1:11" ht="15">
      <c r="A818" s="341"/>
      <c r="B818" s="365"/>
      <c r="C818" s="365"/>
      <c r="D818" s="366"/>
      <c r="E818" s="366"/>
      <c r="F818" s="367"/>
      <c r="G818" s="367"/>
      <c r="H818" s="366"/>
      <c r="I818" s="366"/>
      <c r="J818" s="368"/>
      <c r="K818" s="368"/>
    </row>
    <row r="819" spans="1:11" ht="15">
      <c r="A819" s="341"/>
      <c r="B819" s="365"/>
      <c r="C819" s="365"/>
      <c r="D819" s="366"/>
      <c r="E819" s="366"/>
      <c r="F819" s="367"/>
      <c r="G819" s="367"/>
      <c r="H819" s="366"/>
      <c r="I819" s="366"/>
      <c r="J819" s="368"/>
      <c r="K819" s="368"/>
    </row>
    <row r="820" spans="1:11" ht="15">
      <c r="A820" s="341"/>
      <c r="B820" s="365"/>
      <c r="C820" s="365"/>
      <c r="D820" s="366"/>
      <c r="E820" s="366"/>
      <c r="F820" s="367"/>
      <c r="G820" s="367"/>
      <c r="H820" s="366"/>
      <c r="I820" s="366"/>
      <c r="J820" s="368"/>
      <c r="K820" s="368"/>
    </row>
    <row r="821" spans="1:11" ht="15">
      <c r="A821" s="341"/>
      <c r="B821" s="365"/>
      <c r="C821" s="365"/>
      <c r="D821" s="366"/>
      <c r="E821" s="366"/>
      <c r="F821" s="367"/>
      <c r="G821" s="367"/>
      <c r="H821" s="366"/>
      <c r="I821" s="366"/>
      <c r="J821" s="368"/>
      <c r="K821" s="368"/>
    </row>
    <row r="822" spans="1:11" ht="15">
      <c r="A822" s="341"/>
      <c r="B822" s="365"/>
      <c r="C822" s="365"/>
      <c r="D822" s="366"/>
      <c r="E822" s="366"/>
      <c r="F822" s="367"/>
      <c r="G822" s="367"/>
      <c r="H822" s="366"/>
      <c r="I822" s="366"/>
      <c r="J822" s="368"/>
      <c r="K822" s="368"/>
    </row>
    <row r="823" spans="1:11" ht="15">
      <c r="A823" s="341"/>
      <c r="B823" s="365"/>
      <c r="C823" s="365"/>
      <c r="D823" s="366"/>
      <c r="E823" s="366"/>
      <c r="F823" s="367"/>
      <c r="G823" s="367"/>
      <c r="H823" s="366"/>
      <c r="I823" s="366"/>
      <c r="J823" s="368"/>
      <c r="K823" s="368"/>
    </row>
    <row r="824" spans="1:11" ht="15">
      <c r="A824" s="341"/>
      <c r="B824" s="365"/>
      <c r="C824" s="365"/>
      <c r="D824" s="366"/>
      <c r="E824" s="366"/>
      <c r="F824" s="367"/>
      <c r="G824" s="367"/>
      <c r="H824" s="366"/>
      <c r="I824" s="366"/>
      <c r="J824" s="368"/>
      <c r="K824" s="368"/>
    </row>
    <row r="825" spans="1:11" ht="15">
      <c r="A825" s="341"/>
      <c r="B825" s="365"/>
      <c r="C825" s="365"/>
      <c r="D825" s="366"/>
      <c r="E825" s="366"/>
      <c r="F825" s="367"/>
      <c r="G825" s="367"/>
      <c r="H825" s="366"/>
      <c r="I825" s="366"/>
      <c r="J825" s="368"/>
      <c r="K825" s="368"/>
    </row>
    <row r="826" spans="1:11" ht="15">
      <c r="A826" s="341"/>
      <c r="B826" s="365"/>
      <c r="C826" s="365"/>
      <c r="D826" s="366"/>
      <c r="E826" s="366"/>
      <c r="F826" s="367"/>
      <c r="G826" s="367"/>
      <c r="H826" s="366"/>
      <c r="I826" s="366"/>
      <c r="J826" s="368"/>
      <c r="K826" s="368"/>
    </row>
    <row r="827" spans="1:11" ht="15">
      <c r="A827" s="341"/>
      <c r="B827" s="365"/>
      <c r="C827" s="365"/>
      <c r="D827" s="366"/>
      <c r="E827" s="366"/>
      <c r="F827" s="367"/>
      <c r="G827" s="367"/>
      <c r="H827" s="366"/>
      <c r="I827" s="366"/>
      <c r="J827" s="368"/>
      <c r="K827" s="368"/>
    </row>
    <row r="828" spans="1:11" ht="15">
      <c r="A828" s="341"/>
      <c r="B828" s="365"/>
      <c r="C828" s="365"/>
      <c r="D828" s="366"/>
      <c r="E828" s="366"/>
      <c r="F828" s="367"/>
      <c r="G828" s="367"/>
      <c r="H828" s="366"/>
      <c r="I828" s="366"/>
      <c r="J828" s="368"/>
      <c r="K828" s="368"/>
    </row>
    <row r="829" spans="1:11" ht="15">
      <c r="A829" s="341"/>
      <c r="B829" s="365"/>
      <c r="C829" s="365"/>
      <c r="D829" s="366"/>
      <c r="E829" s="366"/>
      <c r="F829" s="367"/>
      <c r="G829" s="367"/>
      <c r="H829" s="366"/>
      <c r="I829" s="366"/>
      <c r="J829" s="368"/>
      <c r="K829" s="368"/>
    </row>
    <row r="830" spans="1:11" ht="15">
      <c r="A830" s="341"/>
      <c r="B830" s="365"/>
      <c r="C830" s="365"/>
      <c r="D830" s="366"/>
      <c r="E830" s="366"/>
      <c r="F830" s="367"/>
      <c r="G830" s="367"/>
      <c r="H830" s="366"/>
      <c r="I830" s="366"/>
      <c r="J830" s="368"/>
      <c r="K830" s="368"/>
    </row>
    <row r="831" spans="1:11" ht="15">
      <c r="A831" s="341"/>
      <c r="B831" s="365"/>
      <c r="C831" s="365"/>
      <c r="D831" s="366"/>
      <c r="E831" s="366"/>
      <c r="F831" s="367"/>
      <c r="G831" s="367"/>
      <c r="H831" s="366"/>
      <c r="I831" s="366"/>
      <c r="J831" s="368"/>
      <c r="K831" s="368"/>
    </row>
    <row r="832" spans="1:11" ht="15">
      <c r="A832" s="341"/>
      <c r="B832" s="365"/>
      <c r="C832" s="365"/>
      <c r="D832" s="366"/>
      <c r="E832" s="366"/>
      <c r="F832" s="367"/>
      <c r="G832" s="367"/>
      <c r="H832" s="366"/>
      <c r="I832" s="366"/>
      <c r="J832" s="368"/>
      <c r="K832" s="368"/>
    </row>
    <row r="833" spans="1:11" ht="15">
      <c r="A833" s="341"/>
      <c r="B833" s="365"/>
      <c r="C833" s="365"/>
      <c r="D833" s="366"/>
      <c r="E833" s="366"/>
      <c r="F833" s="367"/>
      <c r="G833" s="367"/>
      <c r="H833" s="366"/>
      <c r="I833" s="366"/>
      <c r="J833" s="368"/>
      <c r="K833" s="368"/>
    </row>
    <row r="834" spans="1:11" ht="15">
      <c r="A834" s="341"/>
      <c r="B834" s="365"/>
      <c r="C834" s="365"/>
      <c r="D834" s="366"/>
      <c r="E834" s="366"/>
      <c r="F834" s="367"/>
      <c r="G834" s="367"/>
      <c r="H834" s="366"/>
      <c r="I834" s="366"/>
      <c r="J834" s="368"/>
      <c r="K834" s="368"/>
    </row>
    <row r="835" spans="1:11" ht="15">
      <c r="A835" s="341"/>
      <c r="B835" s="365"/>
      <c r="C835" s="365"/>
      <c r="D835" s="366"/>
      <c r="E835" s="366"/>
      <c r="F835" s="367"/>
      <c r="G835" s="367"/>
      <c r="H835" s="366"/>
      <c r="I835" s="366"/>
      <c r="J835" s="368"/>
      <c r="K835" s="368"/>
    </row>
    <row r="836" spans="1:11" ht="15">
      <c r="A836" s="341"/>
      <c r="B836" s="365"/>
      <c r="C836" s="365"/>
      <c r="D836" s="366"/>
      <c r="E836" s="366"/>
      <c r="F836" s="367"/>
      <c r="G836" s="367"/>
      <c r="H836" s="366"/>
      <c r="I836" s="366"/>
      <c r="J836" s="368"/>
      <c r="K836" s="368"/>
    </row>
    <row r="837" spans="1:11" ht="15">
      <c r="A837" s="341"/>
      <c r="B837" s="365"/>
      <c r="C837" s="365"/>
      <c r="D837" s="366"/>
      <c r="E837" s="366"/>
      <c r="F837" s="367"/>
      <c r="G837" s="367"/>
      <c r="H837" s="366"/>
      <c r="I837" s="366"/>
      <c r="J837" s="368"/>
      <c r="K837" s="368"/>
    </row>
    <row r="838" spans="1:11" ht="15">
      <c r="A838" s="341"/>
      <c r="B838" s="365"/>
      <c r="C838" s="365"/>
      <c r="D838" s="366"/>
      <c r="E838" s="366"/>
      <c r="F838" s="367"/>
      <c r="G838" s="367"/>
      <c r="H838" s="366"/>
      <c r="I838" s="366"/>
      <c r="J838" s="368"/>
      <c r="K838" s="368"/>
    </row>
    <row r="839" spans="1:11" ht="15">
      <c r="A839" s="341"/>
      <c r="B839" s="365"/>
      <c r="C839" s="365"/>
      <c r="D839" s="366"/>
      <c r="E839" s="366"/>
      <c r="F839" s="367"/>
      <c r="G839" s="367"/>
      <c r="H839" s="366"/>
      <c r="I839" s="366"/>
      <c r="J839" s="368"/>
      <c r="K839" s="368"/>
    </row>
    <row r="840" spans="1:11" ht="15">
      <c r="A840" s="341"/>
      <c r="B840" s="365"/>
      <c r="C840" s="365"/>
      <c r="D840" s="366"/>
      <c r="E840" s="366"/>
      <c r="F840" s="367"/>
      <c r="G840" s="367"/>
      <c r="H840" s="366"/>
      <c r="I840" s="366"/>
      <c r="J840" s="368"/>
      <c r="K840" s="368"/>
    </row>
    <row r="841" spans="1:11" ht="15">
      <c r="A841" s="341"/>
      <c r="B841" s="365"/>
      <c r="C841" s="365"/>
      <c r="D841" s="366"/>
      <c r="E841" s="366"/>
      <c r="F841" s="367"/>
      <c r="G841" s="367"/>
      <c r="H841" s="366"/>
      <c r="I841" s="366"/>
      <c r="J841" s="368"/>
      <c r="K841" s="368"/>
    </row>
    <row r="842" spans="1:11" ht="15">
      <c r="A842" s="341"/>
      <c r="B842" s="365"/>
      <c r="C842" s="365"/>
      <c r="D842" s="366"/>
      <c r="E842" s="366"/>
      <c r="F842" s="367"/>
      <c r="G842" s="367"/>
      <c r="H842" s="366"/>
      <c r="I842" s="366"/>
      <c r="J842" s="368"/>
      <c r="K842" s="368"/>
    </row>
    <row r="843" spans="1:11" ht="15">
      <c r="A843" s="341"/>
      <c r="B843" s="365"/>
      <c r="C843" s="365"/>
      <c r="D843" s="366"/>
      <c r="E843" s="366"/>
      <c r="F843" s="367"/>
      <c r="G843" s="367"/>
      <c r="H843" s="366"/>
      <c r="I843" s="366"/>
      <c r="J843" s="368"/>
      <c r="K843" s="368"/>
    </row>
    <row r="844" spans="1:11" ht="15">
      <c r="A844" s="341"/>
      <c r="B844" s="365"/>
      <c r="C844" s="365"/>
      <c r="D844" s="366"/>
      <c r="E844" s="366"/>
      <c r="F844" s="367"/>
      <c r="G844" s="367"/>
      <c r="H844" s="366"/>
      <c r="I844" s="366"/>
      <c r="J844" s="368"/>
      <c r="K844" s="368"/>
    </row>
    <row r="845" spans="1:11" ht="15">
      <c r="A845" s="341"/>
      <c r="B845" s="365"/>
      <c r="C845" s="365"/>
      <c r="D845" s="366"/>
      <c r="E845" s="366"/>
      <c r="F845" s="367"/>
      <c r="G845" s="367"/>
      <c r="H845" s="366"/>
      <c r="I845" s="366"/>
      <c r="J845" s="368"/>
      <c r="K845" s="368"/>
    </row>
    <row r="846" spans="1:11" ht="15">
      <c r="A846" s="341"/>
      <c r="B846" s="365"/>
      <c r="C846" s="365"/>
      <c r="D846" s="366"/>
      <c r="E846" s="366"/>
      <c r="F846" s="367"/>
      <c r="G846" s="367"/>
      <c r="H846" s="366"/>
      <c r="I846" s="366"/>
      <c r="J846" s="368"/>
      <c r="K846" s="368"/>
    </row>
    <row r="847" spans="1:11" ht="15">
      <c r="A847" s="341"/>
      <c r="B847" s="365"/>
      <c r="C847" s="365"/>
      <c r="D847" s="366"/>
      <c r="E847" s="366"/>
      <c r="F847" s="367"/>
      <c r="G847" s="367"/>
      <c r="H847" s="366"/>
      <c r="I847" s="366"/>
      <c r="J847" s="368"/>
      <c r="K847" s="368"/>
    </row>
    <row r="848" spans="1:11" ht="15">
      <c r="A848" s="341"/>
      <c r="B848" s="365"/>
      <c r="C848" s="365"/>
      <c r="D848" s="366"/>
      <c r="E848" s="366"/>
      <c r="F848" s="367"/>
      <c r="G848" s="367"/>
      <c r="H848" s="366"/>
      <c r="I848" s="366"/>
      <c r="J848" s="368"/>
      <c r="K848" s="368"/>
    </row>
    <row r="849" spans="1:11" ht="15">
      <c r="A849" s="341"/>
      <c r="B849" s="365"/>
      <c r="C849" s="365"/>
      <c r="D849" s="366"/>
      <c r="E849" s="366"/>
      <c r="F849" s="367"/>
      <c r="G849" s="367"/>
      <c r="H849" s="366"/>
      <c r="I849" s="366"/>
      <c r="J849" s="368"/>
      <c r="K849" s="368"/>
    </row>
    <row r="850" spans="1:11" ht="15">
      <c r="A850" s="341"/>
      <c r="B850" s="365"/>
      <c r="C850" s="365"/>
      <c r="D850" s="366"/>
      <c r="E850" s="366"/>
      <c r="F850" s="367"/>
      <c r="G850" s="367"/>
      <c r="H850" s="366"/>
      <c r="I850" s="366"/>
      <c r="J850" s="368"/>
      <c r="K850" s="368"/>
    </row>
    <row r="851" spans="1:11" ht="15">
      <c r="A851" s="341"/>
      <c r="B851" s="365"/>
      <c r="C851" s="365"/>
      <c r="D851" s="366"/>
      <c r="E851" s="366"/>
      <c r="F851" s="367"/>
      <c r="G851" s="367"/>
      <c r="H851" s="366"/>
      <c r="I851" s="366"/>
      <c r="J851" s="368"/>
      <c r="K851" s="368"/>
    </row>
    <row r="852" spans="1:11" ht="15">
      <c r="A852" s="341"/>
      <c r="B852" s="365"/>
      <c r="C852" s="365"/>
      <c r="D852" s="366"/>
      <c r="E852" s="366"/>
      <c r="F852" s="367"/>
      <c r="G852" s="367"/>
      <c r="H852" s="366"/>
      <c r="I852" s="366"/>
      <c r="J852" s="368"/>
      <c r="K852" s="368"/>
    </row>
    <row r="853" spans="1:11" ht="15">
      <c r="A853" s="341"/>
      <c r="B853" s="365"/>
      <c r="C853" s="365"/>
      <c r="D853" s="366"/>
      <c r="E853" s="366"/>
      <c r="F853" s="367"/>
      <c r="G853" s="367"/>
      <c r="H853" s="366"/>
      <c r="I853" s="366"/>
      <c r="J853" s="368"/>
      <c r="K853" s="368"/>
    </row>
    <row r="854" spans="1:11" ht="15">
      <c r="A854" s="341"/>
      <c r="B854" s="365"/>
      <c r="C854" s="365"/>
      <c r="D854" s="366"/>
      <c r="E854" s="366"/>
      <c r="F854" s="367"/>
      <c r="G854" s="367"/>
      <c r="H854" s="366"/>
      <c r="I854" s="366"/>
      <c r="J854" s="368"/>
      <c r="K854" s="368"/>
    </row>
    <row r="855" spans="1:11" ht="15">
      <c r="A855" s="341"/>
      <c r="B855" s="365"/>
      <c r="C855" s="365"/>
      <c r="D855" s="366"/>
      <c r="E855" s="366"/>
      <c r="F855" s="367"/>
      <c r="G855" s="367"/>
      <c r="H855" s="366"/>
      <c r="I855" s="366"/>
      <c r="J855" s="368"/>
      <c r="K855" s="368"/>
    </row>
    <row r="856" spans="1:11" ht="15">
      <c r="A856" s="341"/>
      <c r="B856" s="365"/>
      <c r="C856" s="365"/>
      <c r="D856" s="366"/>
      <c r="E856" s="366"/>
      <c r="F856" s="367"/>
      <c r="G856" s="367"/>
      <c r="H856" s="366"/>
      <c r="I856" s="366"/>
      <c r="J856" s="368"/>
      <c r="K856" s="368"/>
    </row>
    <row r="857" spans="1:11" ht="15">
      <c r="A857" s="341"/>
      <c r="B857" s="365"/>
      <c r="C857" s="365"/>
      <c r="D857" s="366"/>
      <c r="E857" s="366"/>
      <c r="F857" s="367"/>
      <c r="G857" s="367"/>
      <c r="H857" s="366"/>
      <c r="I857" s="366"/>
      <c r="J857" s="368"/>
      <c r="K857" s="368"/>
    </row>
    <row r="858" spans="1:11" ht="15">
      <c r="A858" s="341"/>
      <c r="B858" s="365"/>
      <c r="C858" s="365"/>
      <c r="D858" s="366"/>
      <c r="E858" s="366"/>
      <c r="F858" s="367"/>
      <c r="G858" s="367"/>
      <c r="H858" s="366"/>
      <c r="I858" s="366"/>
      <c r="J858" s="368"/>
      <c r="K858" s="368"/>
    </row>
    <row r="859" spans="1:11" ht="15">
      <c r="A859" s="341"/>
      <c r="B859" s="365"/>
      <c r="C859" s="365"/>
      <c r="D859" s="366"/>
      <c r="E859" s="366"/>
      <c r="F859" s="367"/>
      <c r="G859" s="367"/>
      <c r="H859" s="366"/>
      <c r="I859" s="366"/>
      <c r="J859" s="368"/>
      <c r="K859" s="368"/>
    </row>
    <row r="860" spans="1:11" ht="15">
      <c r="A860" s="341"/>
      <c r="B860" s="365"/>
      <c r="C860" s="365"/>
      <c r="D860" s="366"/>
      <c r="E860" s="366"/>
      <c r="F860" s="367"/>
      <c r="G860" s="367"/>
      <c r="H860" s="366"/>
      <c r="I860" s="366"/>
      <c r="J860" s="368"/>
      <c r="K860" s="368"/>
    </row>
    <row r="861" spans="1:11" ht="15">
      <c r="A861" s="341"/>
      <c r="B861" s="365"/>
      <c r="C861" s="365"/>
      <c r="D861" s="366"/>
      <c r="E861" s="366"/>
      <c r="F861" s="367"/>
      <c r="G861" s="367"/>
      <c r="H861" s="366"/>
      <c r="I861" s="366"/>
      <c r="J861" s="368"/>
      <c r="K861" s="368"/>
    </row>
    <row r="862" spans="1:11" ht="15">
      <c r="A862" s="341"/>
      <c r="B862" s="365"/>
      <c r="C862" s="365"/>
      <c r="D862" s="366"/>
      <c r="E862" s="366"/>
      <c r="F862" s="367"/>
      <c r="G862" s="367"/>
      <c r="H862" s="366"/>
      <c r="I862" s="366"/>
      <c r="J862" s="368"/>
      <c r="K862" s="368"/>
    </row>
    <row r="863" spans="1:11" ht="15">
      <c r="A863" s="341"/>
      <c r="B863" s="365"/>
      <c r="C863" s="365"/>
      <c r="D863" s="366"/>
      <c r="E863" s="366"/>
      <c r="F863" s="367"/>
      <c r="G863" s="367"/>
      <c r="H863" s="366"/>
      <c r="I863" s="366"/>
      <c r="J863" s="368"/>
      <c r="K863" s="368"/>
    </row>
    <row r="864" spans="1:11" ht="15">
      <c r="A864" s="341"/>
      <c r="B864" s="365"/>
      <c r="C864" s="365"/>
      <c r="D864" s="366"/>
      <c r="E864" s="366"/>
      <c r="F864" s="367"/>
      <c r="G864" s="367"/>
      <c r="H864" s="366"/>
      <c r="I864" s="366"/>
      <c r="J864" s="368"/>
      <c r="K864" s="368"/>
    </row>
    <row r="865" spans="1:11" ht="15">
      <c r="A865" s="341"/>
      <c r="B865" s="365"/>
      <c r="C865" s="365"/>
      <c r="D865" s="366"/>
      <c r="E865" s="366"/>
      <c r="F865" s="367"/>
      <c r="G865" s="367"/>
      <c r="H865" s="366"/>
      <c r="I865" s="366"/>
      <c r="J865" s="368"/>
      <c r="K865" s="368"/>
    </row>
    <row r="866" spans="1:11" ht="15">
      <c r="A866" s="341"/>
      <c r="B866" s="365"/>
      <c r="C866" s="365"/>
      <c r="D866" s="366"/>
      <c r="E866" s="366"/>
      <c r="F866" s="367"/>
      <c r="G866" s="367"/>
      <c r="H866" s="366"/>
      <c r="I866" s="366"/>
      <c r="J866" s="368"/>
      <c r="K866" s="368"/>
    </row>
    <row r="867" spans="1:11" ht="15">
      <c r="A867" s="341"/>
      <c r="B867" s="365"/>
      <c r="C867" s="365"/>
      <c r="D867" s="366"/>
      <c r="E867" s="366"/>
      <c r="F867" s="367"/>
      <c r="G867" s="367"/>
      <c r="H867" s="366"/>
      <c r="I867" s="366"/>
      <c r="J867" s="368"/>
      <c r="K867" s="368"/>
    </row>
    <row r="868" spans="1:11" ht="15">
      <c r="A868" s="341"/>
      <c r="B868" s="365"/>
      <c r="C868" s="365"/>
      <c r="D868" s="366"/>
      <c r="E868" s="366"/>
      <c r="F868" s="367"/>
      <c r="G868" s="367"/>
      <c r="H868" s="366"/>
      <c r="I868" s="366"/>
      <c r="J868" s="368"/>
      <c r="K868" s="368"/>
    </row>
    <row r="869" spans="1:11" ht="15">
      <c r="A869" s="341"/>
      <c r="B869" s="365"/>
      <c r="C869" s="365"/>
      <c r="D869" s="366"/>
      <c r="E869" s="366"/>
      <c r="F869" s="367"/>
      <c r="G869" s="367"/>
      <c r="H869" s="366"/>
      <c r="I869" s="366"/>
      <c r="J869" s="368"/>
      <c r="K869" s="368"/>
    </row>
    <row r="870" spans="1:11" ht="15">
      <c r="A870" s="341"/>
      <c r="B870" s="365"/>
      <c r="C870" s="365"/>
      <c r="D870" s="366"/>
      <c r="E870" s="366"/>
      <c r="F870" s="367"/>
      <c r="G870" s="367"/>
      <c r="H870" s="366"/>
      <c r="I870" s="366"/>
      <c r="J870" s="368"/>
      <c r="K870" s="368"/>
    </row>
    <row r="871" spans="1:11" ht="15">
      <c r="A871" s="341"/>
      <c r="B871" s="365"/>
      <c r="C871" s="365"/>
      <c r="D871" s="366"/>
      <c r="E871" s="366"/>
      <c r="F871" s="367"/>
      <c r="G871" s="367"/>
      <c r="H871" s="366"/>
      <c r="I871" s="366"/>
      <c r="J871" s="368"/>
      <c r="K871" s="368"/>
    </row>
    <row r="872" spans="1:11" ht="15">
      <c r="A872" s="341"/>
      <c r="B872" s="365"/>
      <c r="C872" s="365"/>
      <c r="D872" s="366"/>
      <c r="E872" s="366"/>
      <c r="F872" s="367"/>
      <c r="G872" s="367"/>
      <c r="H872" s="366"/>
      <c r="I872" s="366"/>
      <c r="J872" s="368"/>
      <c r="K872" s="368"/>
    </row>
    <row r="873" spans="1:11" ht="15">
      <c r="A873" s="341"/>
      <c r="B873" s="365"/>
      <c r="C873" s="365"/>
      <c r="D873" s="366"/>
      <c r="E873" s="366"/>
      <c r="F873" s="367"/>
      <c r="G873" s="367"/>
      <c r="H873" s="366"/>
      <c r="I873" s="366"/>
      <c r="J873" s="368"/>
      <c r="K873" s="368"/>
    </row>
    <row r="874" spans="1:11" ht="15">
      <c r="A874" s="341"/>
      <c r="B874" s="365"/>
      <c r="C874" s="365"/>
      <c r="D874" s="366"/>
      <c r="E874" s="366"/>
      <c r="F874" s="367"/>
      <c r="G874" s="367"/>
      <c r="H874" s="366"/>
      <c r="I874" s="366"/>
      <c r="J874" s="368"/>
      <c r="K874" s="368"/>
    </row>
    <row r="875" spans="1:11" ht="15">
      <c r="A875" s="341"/>
      <c r="B875" s="365"/>
      <c r="C875" s="365"/>
      <c r="D875" s="366"/>
      <c r="E875" s="366"/>
      <c r="F875" s="367"/>
      <c r="G875" s="367"/>
      <c r="H875" s="366"/>
      <c r="I875" s="366"/>
      <c r="J875" s="368"/>
      <c r="K875" s="368"/>
    </row>
    <row r="876" spans="1:11" ht="15">
      <c r="A876" s="341"/>
      <c r="B876" s="365"/>
      <c r="C876" s="365"/>
      <c r="D876" s="366"/>
      <c r="E876" s="366"/>
      <c r="F876" s="367"/>
      <c r="G876" s="367"/>
      <c r="H876" s="366"/>
      <c r="I876" s="366"/>
      <c r="J876" s="368"/>
      <c r="K876" s="368"/>
    </row>
    <row r="877" spans="1:11" ht="15">
      <c r="A877" s="341"/>
      <c r="B877" s="365"/>
      <c r="C877" s="365"/>
      <c r="D877" s="366"/>
      <c r="E877" s="366"/>
      <c r="F877" s="367"/>
      <c r="G877" s="367"/>
      <c r="H877" s="366"/>
      <c r="I877" s="366"/>
      <c r="J877" s="368"/>
      <c r="K877" s="368"/>
    </row>
    <row r="878" spans="1:11" ht="15">
      <c r="A878" s="341"/>
      <c r="B878" s="365"/>
      <c r="C878" s="365"/>
      <c r="D878" s="366"/>
      <c r="E878" s="366"/>
      <c r="F878" s="367"/>
      <c r="G878" s="367"/>
      <c r="H878" s="366"/>
      <c r="I878" s="366"/>
      <c r="J878" s="368"/>
      <c r="K878" s="368"/>
    </row>
    <row r="879" spans="1:11" ht="15">
      <c r="A879" s="341"/>
      <c r="B879" s="365"/>
      <c r="C879" s="365"/>
      <c r="D879" s="366"/>
      <c r="E879" s="366"/>
      <c r="F879" s="367"/>
      <c r="G879" s="367"/>
      <c r="H879" s="366"/>
      <c r="I879" s="366"/>
      <c r="J879" s="368"/>
      <c r="K879" s="368"/>
    </row>
    <row r="880" spans="1:11" ht="15">
      <c r="A880" s="341"/>
      <c r="B880" s="365"/>
      <c r="C880" s="365"/>
      <c r="D880" s="366"/>
      <c r="E880" s="366"/>
      <c r="F880" s="367"/>
      <c r="G880" s="367"/>
      <c r="H880" s="366"/>
      <c r="I880" s="366"/>
      <c r="J880" s="368"/>
      <c r="K880" s="368"/>
    </row>
    <row r="881" spans="1:11" ht="15">
      <c r="A881" s="341"/>
      <c r="B881" s="365"/>
      <c r="C881" s="365"/>
      <c r="D881" s="366"/>
      <c r="E881" s="366"/>
      <c r="F881" s="367"/>
      <c r="G881" s="367"/>
      <c r="H881" s="366"/>
      <c r="I881" s="366"/>
      <c r="J881" s="368"/>
      <c r="K881" s="368"/>
    </row>
    <row r="882" spans="1:11" ht="15">
      <c r="A882" s="341"/>
      <c r="B882" s="365"/>
      <c r="C882" s="365"/>
      <c r="D882" s="366"/>
      <c r="E882" s="366"/>
      <c r="F882" s="367"/>
      <c r="G882" s="367"/>
      <c r="H882" s="366"/>
      <c r="I882" s="366"/>
      <c r="J882" s="368"/>
      <c r="K882" s="368"/>
    </row>
    <row r="883" spans="1:11" ht="15">
      <c r="A883" s="341"/>
      <c r="B883" s="365"/>
      <c r="C883" s="365"/>
      <c r="D883" s="366"/>
      <c r="E883" s="366"/>
      <c r="F883" s="367"/>
      <c r="G883" s="367"/>
      <c r="H883" s="366"/>
      <c r="I883" s="366"/>
      <c r="J883" s="368"/>
      <c r="K883" s="368"/>
    </row>
    <row r="884" spans="1:11" ht="15">
      <c r="A884" s="341"/>
      <c r="B884" s="365"/>
      <c r="C884" s="365"/>
      <c r="D884" s="366"/>
      <c r="E884" s="366"/>
      <c r="F884" s="367"/>
      <c r="G884" s="367"/>
      <c r="H884" s="366"/>
      <c r="I884" s="366"/>
      <c r="J884" s="368"/>
      <c r="K884" s="368"/>
    </row>
    <row r="885" spans="1:11" ht="15">
      <c r="A885" s="341"/>
      <c r="B885" s="365"/>
      <c r="C885" s="365"/>
      <c r="D885" s="366"/>
      <c r="E885" s="366"/>
      <c r="F885" s="367"/>
      <c r="G885" s="367"/>
      <c r="H885" s="366"/>
      <c r="I885" s="366"/>
      <c r="J885" s="368"/>
      <c r="K885" s="368"/>
    </row>
    <row r="886" spans="1:11" ht="15">
      <c r="A886" s="341"/>
      <c r="B886" s="365"/>
      <c r="C886" s="365"/>
      <c r="D886" s="366"/>
      <c r="E886" s="366"/>
      <c r="F886" s="367"/>
      <c r="G886" s="367"/>
      <c r="H886" s="366"/>
      <c r="I886" s="366"/>
      <c r="J886" s="368"/>
      <c r="K886" s="368"/>
    </row>
    <row r="887" spans="1:11" ht="15">
      <c r="A887" s="341"/>
      <c r="B887" s="365"/>
      <c r="C887" s="365"/>
      <c r="D887" s="366"/>
      <c r="E887" s="366"/>
      <c r="F887" s="367"/>
      <c r="G887" s="367"/>
      <c r="H887" s="366"/>
      <c r="I887" s="366"/>
      <c r="J887" s="368"/>
      <c r="K887" s="368"/>
    </row>
    <row r="888" spans="1:11" ht="15">
      <c r="A888" s="341"/>
      <c r="B888" s="365"/>
      <c r="C888" s="365"/>
      <c r="D888" s="366"/>
      <c r="E888" s="366"/>
      <c r="F888" s="367"/>
      <c r="G888" s="367"/>
      <c r="H888" s="366"/>
      <c r="I888" s="366"/>
      <c r="J888" s="368"/>
      <c r="K888" s="368"/>
    </row>
    <row r="889" spans="1:11" ht="15">
      <c r="A889" s="341"/>
      <c r="B889" s="365"/>
      <c r="C889" s="365"/>
      <c r="D889" s="366"/>
      <c r="E889" s="366"/>
      <c r="F889" s="367"/>
      <c r="G889" s="367"/>
      <c r="H889" s="366"/>
      <c r="I889" s="366"/>
      <c r="J889" s="368"/>
      <c r="K889" s="368"/>
    </row>
    <row r="890" spans="1:11" ht="15">
      <c r="A890" s="341"/>
      <c r="B890" s="365"/>
      <c r="C890" s="365"/>
      <c r="D890" s="366"/>
      <c r="E890" s="366"/>
      <c r="F890" s="367"/>
      <c r="G890" s="367"/>
      <c r="H890" s="366"/>
      <c r="I890" s="366"/>
      <c r="J890" s="368"/>
      <c r="K890" s="368"/>
    </row>
    <row r="891" spans="1:11" ht="15">
      <c r="A891" s="341"/>
      <c r="B891" s="365"/>
      <c r="C891" s="365"/>
      <c r="D891" s="366"/>
      <c r="E891" s="366"/>
      <c r="F891" s="367"/>
      <c r="G891" s="367"/>
      <c r="H891" s="366"/>
      <c r="I891" s="366"/>
      <c r="J891" s="368"/>
      <c r="K891" s="368"/>
    </row>
    <row r="892" spans="1:11" ht="15">
      <c r="A892" s="341"/>
      <c r="B892" s="365"/>
      <c r="C892" s="365"/>
      <c r="D892" s="366"/>
      <c r="E892" s="366"/>
      <c r="F892" s="367"/>
      <c r="G892" s="367"/>
      <c r="H892" s="366"/>
      <c r="I892" s="366"/>
      <c r="J892" s="368"/>
      <c r="K892" s="368"/>
    </row>
    <row r="893" spans="1:11" ht="15">
      <c r="A893" s="341"/>
      <c r="B893" s="365"/>
      <c r="C893" s="365"/>
      <c r="D893" s="366"/>
      <c r="E893" s="366"/>
      <c r="F893" s="367"/>
      <c r="G893" s="367"/>
      <c r="H893" s="366"/>
      <c r="I893" s="366"/>
      <c r="J893" s="368"/>
      <c r="K893" s="368"/>
    </row>
    <row r="894" spans="1:11" ht="15">
      <c r="A894" s="341"/>
      <c r="B894" s="365"/>
      <c r="C894" s="365"/>
      <c r="D894" s="366"/>
      <c r="E894" s="366"/>
      <c r="F894" s="367"/>
      <c r="G894" s="367"/>
      <c r="H894" s="366"/>
      <c r="I894" s="366"/>
      <c r="J894" s="368"/>
      <c r="K894" s="368"/>
    </row>
    <row r="895" spans="1:11" ht="15">
      <c r="A895" s="341"/>
      <c r="B895" s="365"/>
      <c r="C895" s="365"/>
      <c r="D895" s="366"/>
      <c r="E895" s="366"/>
      <c r="F895" s="367"/>
      <c r="G895" s="367"/>
      <c r="H895" s="366"/>
      <c r="I895" s="366"/>
      <c r="J895" s="368"/>
      <c r="K895" s="368"/>
    </row>
    <row r="896" spans="1:11" ht="15">
      <c r="A896" s="341"/>
      <c r="B896" s="365"/>
      <c r="C896" s="365"/>
      <c r="D896" s="366"/>
      <c r="E896" s="366"/>
      <c r="F896" s="367"/>
      <c r="G896" s="367"/>
      <c r="H896" s="366"/>
      <c r="I896" s="366"/>
      <c r="J896" s="368"/>
      <c r="K896" s="368"/>
    </row>
    <row r="897" spans="1:11" ht="15">
      <c r="A897" s="341"/>
      <c r="B897" s="365"/>
      <c r="C897" s="365"/>
      <c r="D897" s="366"/>
      <c r="E897" s="366"/>
      <c r="F897" s="367"/>
      <c r="G897" s="367"/>
      <c r="H897" s="366"/>
      <c r="I897" s="366"/>
      <c r="J897" s="368"/>
      <c r="K897" s="368"/>
    </row>
    <row r="898" spans="1:11" ht="15">
      <c r="A898" s="341"/>
      <c r="B898" s="365"/>
      <c r="C898" s="365"/>
      <c r="D898" s="366"/>
      <c r="E898" s="366"/>
      <c r="F898" s="367"/>
      <c r="G898" s="367"/>
      <c r="H898" s="366"/>
      <c r="I898" s="366"/>
      <c r="J898" s="368"/>
      <c r="K898" s="368"/>
    </row>
    <row r="899" spans="1:11" ht="15">
      <c r="A899" s="341"/>
      <c r="B899" s="365"/>
      <c r="C899" s="365"/>
      <c r="D899" s="366"/>
      <c r="E899" s="366"/>
      <c r="F899" s="367"/>
      <c r="G899" s="367"/>
      <c r="H899" s="366"/>
      <c r="I899" s="366"/>
      <c r="J899" s="368"/>
      <c r="K899" s="368"/>
    </row>
    <row r="900" spans="1:11" ht="15">
      <c r="A900" s="341"/>
      <c r="B900" s="365"/>
      <c r="C900" s="365"/>
      <c r="D900" s="366"/>
      <c r="E900" s="366"/>
      <c r="F900" s="367"/>
      <c r="G900" s="367"/>
      <c r="H900" s="366"/>
      <c r="I900" s="366"/>
      <c r="J900" s="368"/>
      <c r="K900" s="368"/>
    </row>
    <row r="901" spans="1:11" ht="15">
      <c r="A901" s="341"/>
      <c r="B901" s="365"/>
      <c r="C901" s="365"/>
      <c r="D901" s="366"/>
      <c r="E901" s="366"/>
      <c r="F901" s="367"/>
      <c r="G901" s="367"/>
      <c r="H901" s="366"/>
      <c r="I901" s="366"/>
      <c r="J901" s="368"/>
      <c r="K901" s="368"/>
    </row>
    <row r="902" spans="1:11" ht="15">
      <c r="A902" s="341"/>
      <c r="B902" s="365"/>
      <c r="C902" s="365"/>
      <c r="D902" s="366"/>
      <c r="E902" s="366"/>
      <c r="F902" s="367"/>
      <c r="G902" s="367"/>
      <c r="H902" s="366"/>
      <c r="I902" s="366"/>
      <c r="J902" s="368"/>
      <c r="K902" s="368"/>
    </row>
    <row r="903" spans="1:11" ht="15">
      <c r="A903" s="341"/>
      <c r="B903" s="365"/>
      <c r="C903" s="365"/>
      <c r="D903" s="366"/>
      <c r="E903" s="366"/>
      <c r="F903" s="367"/>
      <c r="G903" s="367"/>
      <c r="H903" s="366"/>
      <c r="I903" s="366"/>
      <c r="J903" s="368"/>
      <c r="K903" s="368"/>
    </row>
    <row r="904" spans="1:11" ht="15">
      <c r="A904" s="341"/>
      <c r="B904" s="365"/>
      <c r="C904" s="365"/>
      <c r="D904" s="366"/>
      <c r="E904" s="366"/>
      <c r="F904" s="367"/>
      <c r="G904" s="367"/>
      <c r="H904" s="366"/>
      <c r="I904" s="366"/>
      <c r="J904" s="368"/>
      <c r="K904" s="368"/>
    </row>
    <row r="905" spans="1:11" ht="15">
      <c r="A905" s="341"/>
      <c r="B905" s="365"/>
      <c r="C905" s="365"/>
      <c r="D905" s="366"/>
      <c r="E905" s="366"/>
      <c r="F905" s="367"/>
      <c r="G905" s="367"/>
      <c r="H905" s="366"/>
      <c r="I905" s="366"/>
      <c r="J905" s="368"/>
      <c r="K905" s="368"/>
    </row>
    <row r="906" spans="1:11" ht="15">
      <c r="A906" s="341"/>
      <c r="B906" s="365"/>
      <c r="C906" s="365"/>
      <c r="D906" s="366"/>
      <c r="E906" s="366"/>
      <c r="F906" s="367"/>
      <c r="G906" s="367"/>
      <c r="H906" s="366"/>
      <c r="I906" s="366"/>
      <c r="J906" s="368"/>
      <c r="K906" s="368"/>
    </row>
    <row r="907" spans="1:11" ht="15">
      <c r="A907" s="341"/>
      <c r="B907" s="365"/>
      <c r="C907" s="365"/>
      <c r="D907" s="366"/>
      <c r="E907" s="366"/>
      <c r="F907" s="367"/>
      <c r="G907" s="367"/>
      <c r="H907" s="366"/>
      <c r="I907" s="366"/>
      <c r="J907" s="368"/>
      <c r="K907" s="368"/>
    </row>
    <row r="908" spans="1:11" ht="15">
      <c r="A908" s="341"/>
      <c r="B908" s="365"/>
      <c r="C908" s="365"/>
      <c r="D908" s="366"/>
      <c r="E908" s="366"/>
      <c r="F908" s="367"/>
      <c r="G908" s="367"/>
      <c r="H908" s="366"/>
      <c r="I908" s="366"/>
      <c r="J908" s="368"/>
      <c r="K908" s="368"/>
    </row>
    <row r="909" spans="1:11" ht="15">
      <c r="A909" s="341"/>
      <c r="B909" s="365"/>
      <c r="C909" s="365"/>
      <c r="D909" s="366"/>
      <c r="E909" s="366"/>
      <c r="F909" s="367"/>
      <c r="G909" s="367"/>
      <c r="H909" s="366"/>
      <c r="I909" s="366"/>
      <c r="J909" s="368"/>
      <c r="K909" s="368"/>
    </row>
    <row r="910" spans="1:11" ht="15">
      <c r="A910" s="341"/>
      <c r="B910" s="365"/>
      <c r="C910" s="365"/>
      <c r="D910" s="366"/>
      <c r="E910" s="366"/>
      <c r="F910" s="367"/>
      <c r="G910" s="367"/>
      <c r="H910" s="366"/>
      <c r="I910" s="366"/>
      <c r="J910" s="368"/>
      <c r="K910" s="368"/>
    </row>
    <row r="911" spans="1:11" ht="15">
      <c r="A911" s="341"/>
      <c r="B911" s="365"/>
      <c r="C911" s="365"/>
      <c r="D911" s="366"/>
      <c r="E911" s="366"/>
      <c r="F911" s="367"/>
      <c r="G911" s="367"/>
      <c r="H911" s="366"/>
      <c r="I911" s="366"/>
      <c r="J911" s="368"/>
      <c r="K911" s="368"/>
    </row>
    <row r="912" spans="1:11" ht="15">
      <c r="A912" s="341"/>
      <c r="B912" s="365"/>
      <c r="C912" s="365"/>
      <c r="D912" s="366"/>
      <c r="E912" s="366"/>
      <c r="F912" s="367"/>
      <c r="G912" s="367"/>
      <c r="H912" s="366"/>
      <c r="I912" s="366"/>
      <c r="J912" s="368"/>
      <c r="K912" s="368"/>
    </row>
    <row r="913" spans="1:11" ht="15">
      <c r="A913" s="341"/>
      <c r="B913" s="365"/>
      <c r="C913" s="365"/>
      <c r="D913" s="366"/>
      <c r="E913" s="366"/>
      <c r="F913" s="367"/>
      <c r="G913" s="367"/>
      <c r="H913" s="366"/>
      <c r="I913" s="366"/>
      <c r="J913" s="368"/>
      <c r="K913" s="368"/>
    </row>
    <row r="914" spans="1:11" ht="15">
      <c r="A914" s="341"/>
      <c r="B914" s="365"/>
      <c r="C914" s="365"/>
      <c r="D914" s="366"/>
      <c r="E914" s="366"/>
      <c r="F914" s="367"/>
      <c r="G914" s="367"/>
      <c r="H914" s="366"/>
      <c r="I914" s="366"/>
      <c r="J914" s="368"/>
      <c r="K914" s="368"/>
    </row>
    <row r="915" spans="1:11" ht="15">
      <c r="A915" s="341"/>
      <c r="B915" s="365"/>
      <c r="C915" s="365"/>
      <c r="D915" s="366"/>
      <c r="E915" s="366"/>
      <c r="F915" s="367"/>
      <c r="G915" s="367"/>
      <c r="H915" s="366"/>
      <c r="I915" s="366"/>
      <c r="J915" s="368"/>
      <c r="K915" s="368"/>
    </row>
    <row r="916" spans="1:11" ht="15">
      <c r="A916" s="341"/>
      <c r="B916" s="365"/>
      <c r="C916" s="365"/>
      <c r="D916" s="366"/>
      <c r="E916" s="366"/>
      <c r="F916" s="367"/>
      <c r="G916" s="367"/>
      <c r="H916" s="366"/>
      <c r="I916" s="366"/>
      <c r="J916" s="368"/>
      <c r="K916" s="368"/>
    </row>
    <row r="917" spans="1:11" ht="15">
      <c r="A917" s="341"/>
      <c r="B917" s="365"/>
      <c r="C917" s="365"/>
      <c r="D917" s="366"/>
      <c r="E917" s="366"/>
      <c r="F917" s="367"/>
      <c r="G917" s="367"/>
      <c r="H917" s="366"/>
      <c r="I917" s="366"/>
      <c r="J917" s="368"/>
      <c r="K917" s="368"/>
    </row>
    <row r="918" spans="1:11" ht="15">
      <c r="A918" s="341"/>
      <c r="B918" s="365"/>
      <c r="C918" s="365"/>
      <c r="D918" s="366"/>
      <c r="E918" s="366"/>
      <c r="F918" s="367"/>
      <c r="G918" s="367"/>
      <c r="H918" s="366"/>
      <c r="I918" s="366"/>
      <c r="J918" s="368"/>
      <c r="K918" s="368"/>
    </row>
    <row r="919" spans="1:11" ht="15">
      <c r="A919" s="341"/>
      <c r="B919" s="365"/>
      <c r="C919" s="365"/>
      <c r="D919" s="366"/>
      <c r="E919" s="366"/>
      <c r="F919" s="367"/>
      <c r="G919" s="367"/>
      <c r="H919" s="366"/>
      <c r="I919" s="366"/>
      <c r="J919" s="368"/>
      <c r="K919" s="368"/>
    </row>
    <row r="920" spans="1:11" ht="15">
      <c r="A920" s="341"/>
      <c r="B920" s="365"/>
      <c r="C920" s="365"/>
      <c r="D920" s="366"/>
      <c r="E920" s="366"/>
      <c r="F920" s="367"/>
      <c r="G920" s="367"/>
      <c r="H920" s="366"/>
      <c r="I920" s="366"/>
      <c r="J920" s="368"/>
      <c r="K920" s="368"/>
    </row>
    <row r="921" spans="1:11" ht="15">
      <c r="A921" s="341"/>
      <c r="B921" s="365"/>
      <c r="C921" s="365"/>
      <c r="D921" s="366"/>
      <c r="E921" s="366"/>
      <c r="F921" s="367"/>
      <c r="G921" s="367"/>
      <c r="H921" s="366"/>
      <c r="I921" s="366"/>
      <c r="J921" s="368"/>
      <c r="K921" s="368"/>
    </row>
    <row r="922" spans="1:11" ht="15">
      <c r="A922" s="341"/>
      <c r="B922" s="365"/>
      <c r="C922" s="365"/>
      <c r="D922" s="366"/>
      <c r="E922" s="366"/>
      <c r="F922" s="367"/>
      <c r="G922" s="367"/>
      <c r="H922" s="366"/>
      <c r="I922" s="366"/>
      <c r="J922" s="368"/>
      <c r="K922" s="368"/>
    </row>
    <row r="923" spans="1:11" ht="15">
      <c r="A923" s="341"/>
      <c r="B923" s="365"/>
      <c r="C923" s="365"/>
      <c r="D923" s="366"/>
      <c r="E923" s="366"/>
      <c r="F923" s="367"/>
      <c r="G923" s="367"/>
      <c r="H923" s="366"/>
      <c r="I923" s="366"/>
      <c r="J923" s="368"/>
      <c r="K923" s="368"/>
    </row>
    <row r="924" spans="1:11" ht="15">
      <c r="A924" s="341"/>
      <c r="B924" s="365"/>
      <c r="C924" s="365"/>
      <c r="D924" s="366"/>
      <c r="E924" s="366"/>
      <c r="F924" s="367"/>
      <c r="G924" s="367"/>
      <c r="H924" s="366"/>
      <c r="I924" s="366"/>
      <c r="J924" s="368"/>
      <c r="K924" s="368"/>
    </row>
    <row r="925" spans="1:11" ht="15">
      <c r="A925" s="341"/>
      <c r="B925" s="365"/>
      <c r="C925" s="365"/>
      <c r="D925" s="366"/>
      <c r="E925" s="366"/>
      <c r="F925" s="367"/>
      <c r="G925" s="367"/>
      <c r="H925" s="366"/>
      <c r="I925" s="366"/>
      <c r="J925" s="368"/>
      <c r="K925" s="368"/>
    </row>
    <row r="926" spans="1:11" ht="15">
      <c r="A926" s="341"/>
      <c r="B926" s="365"/>
      <c r="C926" s="365"/>
      <c r="D926" s="366"/>
      <c r="E926" s="366"/>
      <c r="F926" s="367"/>
      <c r="G926" s="367"/>
      <c r="H926" s="366"/>
      <c r="I926" s="366"/>
      <c r="J926" s="368"/>
      <c r="K926" s="368"/>
    </row>
    <row r="927" spans="1:11" ht="15">
      <c r="A927" s="341"/>
      <c r="B927" s="365"/>
      <c r="C927" s="365"/>
      <c r="D927" s="366"/>
      <c r="E927" s="366"/>
      <c r="F927" s="367"/>
      <c r="G927" s="367"/>
      <c r="H927" s="366"/>
      <c r="I927" s="366"/>
      <c r="J927" s="368"/>
      <c r="K927" s="368"/>
    </row>
    <row r="928" spans="1:11" ht="15">
      <c r="A928" s="341"/>
      <c r="B928" s="365"/>
      <c r="C928" s="365"/>
      <c r="D928" s="366"/>
      <c r="E928" s="366"/>
      <c r="F928" s="367"/>
      <c r="G928" s="367"/>
      <c r="H928" s="366"/>
      <c r="I928" s="366"/>
      <c r="J928" s="368"/>
      <c r="K928" s="368"/>
    </row>
    <row r="929" spans="1:11" ht="15">
      <c r="A929" s="341"/>
      <c r="B929" s="365"/>
      <c r="C929" s="365"/>
      <c r="D929" s="366"/>
      <c r="E929" s="366"/>
      <c r="F929" s="367"/>
      <c r="G929" s="367"/>
      <c r="H929" s="366"/>
      <c r="I929" s="366"/>
      <c r="J929" s="368"/>
      <c r="K929" s="368"/>
    </row>
    <row r="930" spans="1:11" ht="15">
      <c r="A930" s="341"/>
      <c r="B930" s="365"/>
      <c r="C930" s="365"/>
      <c r="D930" s="366"/>
      <c r="E930" s="366"/>
      <c r="F930" s="367"/>
      <c r="G930" s="367"/>
      <c r="H930" s="366"/>
      <c r="I930" s="366"/>
      <c r="J930" s="368"/>
      <c r="K930" s="368"/>
    </row>
    <row r="931" spans="1:11" ht="15">
      <c r="A931" s="341"/>
      <c r="B931" s="365"/>
      <c r="C931" s="365"/>
      <c r="D931" s="366"/>
      <c r="E931" s="366"/>
      <c r="F931" s="367"/>
      <c r="G931" s="367"/>
      <c r="H931" s="366"/>
      <c r="I931" s="366"/>
      <c r="J931" s="368"/>
      <c r="K931" s="368"/>
    </row>
    <row r="932" spans="1:11" ht="15">
      <c r="A932" s="341"/>
      <c r="B932" s="365"/>
      <c r="C932" s="365"/>
      <c r="D932" s="366"/>
      <c r="E932" s="366"/>
      <c r="F932" s="367"/>
      <c r="G932" s="367"/>
      <c r="H932" s="366"/>
      <c r="I932" s="366"/>
      <c r="J932" s="368"/>
      <c r="K932" s="368"/>
    </row>
    <row r="933" spans="1:11" ht="15">
      <c r="A933" s="341"/>
      <c r="B933" s="365"/>
      <c r="C933" s="365"/>
      <c r="D933" s="366"/>
      <c r="E933" s="366"/>
      <c r="F933" s="367"/>
      <c r="G933" s="367"/>
      <c r="H933" s="366"/>
      <c r="I933" s="366"/>
      <c r="J933" s="368"/>
      <c r="K933" s="368"/>
    </row>
    <row r="934" spans="1:11" ht="15">
      <c r="A934" s="341"/>
      <c r="B934" s="365"/>
      <c r="C934" s="365"/>
      <c r="D934" s="366"/>
      <c r="E934" s="366"/>
      <c r="F934" s="367"/>
      <c r="G934" s="367"/>
      <c r="H934" s="366"/>
      <c r="I934" s="366"/>
      <c r="J934" s="368"/>
      <c r="K934" s="368"/>
    </row>
    <row r="935" spans="1:11" ht="15">
      <c r="A935" s="341"/>
      <c r="B935" s="365"/>
      <c r="C935" s="365"/>
      <c r="D935" s="366"/>
      <c r="E935" s="366"/>
      <c r="F935" s="367"/>
      <c r="G935" s="367"/>
      <c r="H935" s="366"/>
      <c r="I935" s="366"/>
      <c r="J935" s="368"/>
      <c r="K935" s="368"/>
    </row>
    <row r="936" spans="1:11" ht="15">
      <c r="A936" s="341"/>
      <c r="B936" s="365"/>
      <c r="C936" s="365"/>
      <c r="D936" s="366"/>
      <c r="E936" s="366"/>
      <c r="F936" s="367"/>
      <c r="G936" s="367"/>
      <c r="H936" s="366"/>
      <c r="I936" s="366"/>
      <c r="J936" s="368"/>
      <c r="K936" s="368"/>
    </row>
    <row r="937" spans="1:11" ht="15">
      <c r="A937" s="341"/>
      <c r="B937" s="365"/>
      <c r="C937" s="365"/>
      <c r="D937" s="366"/>
      <c r="E937" s="366"/>
      <c r="F937" s="367"/>
      <c r="G937" s="367"/>
      <c r="H937" s="366"/>
      <c r="I937" s="366"/>
      <c r="J937" s="368"/>
      <c r="K937" s="368"/>
    </row>
    <row r="938" spans="1:11" ht="15">
      <c r="A938" s="341"/>
      <c r="B938" s="365"/>
      <c r="C938" s="365"/>
      <c r="D938" s="366"/>
      <c r="E938" s="366"/>
      <c r="F938" s="367"/>
      <c r="G938" s="367"/>
      <c r="H938" s="366"/>
      <c r="I938" s="366"/>
      <c r="J938" s="368"/>
      <c r="K938" s="368"/>
    </row>
    <row r="939" spans="1:11" ht="15">
      <c r="A939" s="341"/>
      <c r="B939" s="365"/>
      <c r="C939" s="365"/>
      <c r="D939" s="366"/>
      <c r="E939" s="366"/>
      <c r="F939" s="367"/>
      <c r="G939" s="367"/>
      <c r="H939" s="366"/>
      <c r="I939" s="366"/>
      <c r="J939" s="368"/>
      <c r="K939" s="368"/>
    </row>
    <row r="940" spans="1:11" ht="15">
      <c r="A940" s="341"/>
      <c r="B940" s="365"/>
      <c r="C940" s="365"/>
      <c r="D940" s="366"/>
      <c r="E940" s="366"/>
      <c r="F940" s="367"/>
      <c r="G940" s="367"/>
      <c r="H940" s="366"/>
      <c r="I940" s="366"/>
      <c r="J940" s="368"/>
      <c r="K940" s="368"/>
    </row>
    <row r="941" spans="1:11" ht="15">
      <c r="A941" s="341"/>
      <c r="B941" s="365"/>
      <c r="C941" s="365"/>
      <c r="D941" s="366"/>
      <c r="E941" s="366"/>
      <c r="F941" s="367"/>
      <c r="G941" s="367"/>
      <c r="H941" s="366"/>
      <c r="I941" s="366"/>
      <c r="J941" s="368"/>
      <c r="K941" s="368"/>
    </row>
    <row r="942" spans="1:11" ht="15">
      <c r="A942" s="341"/>
      <c r="B942" s="365"/>
      <c r="C942" s="365"/>
      <c r="D942" s="366"/>
      <c r="E942" s="366"/>
      <c r="F942" s="367"/>
      <c r="G942" s="367"/>
      <c r="H942" s="366"/>
      <c r="I942" s="366"/>
      <c r="J942" s="368"/>
      <c r="K942" s="368"/>
    </row>
    <row r="943" spans="1:11" ht="15">
      <c r="A943" s="341"/>
      <c r="B943" s="365"/>
      <c r="C943" s="365"/>
      <c r="D943" s="366"/>
      <c r="E943" s="366"/>
      <c r="F943" s="367"/>
      <c r="G943" s="367"/>
      <c r="H943" s="366"/>
      <c r="I943" s="366"/>
      <c r="J943" s="368"/>
      <c r="K943" s="368"/>
    </row>
    <row r="944" spans="1:11" ht="15">
      <c r="A944" s="341"/>
      <c r="B944" s="365"/>
      <c r="C944" s="365"/>
      <c r="D944" s="366"/>
      <c r="E944" s="366"/>
      <c r="F944" s="367"/>
      <c r="G944" s="367"/>
      <c r="H944" s="366"/>
      <c r="I944" s="366"/>
      <c r="J944" s="368"/>
      <c r="K944" s="368"/>
    </row>
    <row r="945" spans="1:11" ht="15">
      <c r="A945" s="341"/>
      <c r="B945" s="365"/>
      <c r="C945" s="365"/>
      <c r="D945" s="366"/>
      <c r="E945" s="366"/>
      <c r="F945" s="367"/>
      <c r="G945" s="367"/>
      <c r="H945" s="366"/>
      <c r="I945" s="366"/>
      <c r="J945" s="368"/>
      <c r="K945" s="368"/>
    </row>
    <row r="946" spans="1:11" ht="15">
      <c r="A946" s="341"/>
      <c r="B946" s="365"/>
      <c r="C946" s="365"/>
      <c r="D946" s="366"/>
      <c r="E946" s="366"/>
      <c r="F946" s="367"/>
      <c r="G946" s="367"/>
      <c r="H946" s="366"/>
      <c r="I946" s="366"/>
      <c r="J946" s="368"/>
      <c r="K946" s="368"/>
    </row>
    <row r="947" spans="1:11" ht="15">
      <c r="A947" s="341"/>
      <c r="B947" s="365"/>
      <c r="C947" s="365"/>
      <c r="D947" s="366"/>
      <c r="E947" s="366"/>
      <c r="F947" s="367"/>
      <c r="G947" s="367"/>
      <c r="H947" s="366"/>
      <c r="I947" s="366"/>
      <c r="J947" s="368"/>
      <c r="K947" s="368"/>
    </row>
    <row r="948" spans="1:11" ht="15">
      <c r="A948" s="341"/>
      <c r="B948" s="365"/>
      <c r="C948" s="365"/>
      <c r="D948" s="366"/>
      <c r="E948" s="366"/>
      <c r="F948" s="367"/>
      <c r="G948" s="367"/>
      <c r="H948" s="366"/>
      <c r="I948" s="366"/>
      <c r="J948" s="368"/>
      <c r="K948" s="368"/>
    </row>
    <row r="949" spans="1:11" ht="15">
      <c r="A949" s="341"/>
      <c r="B949" s="365"/>
      <c r="C949" s="365"/>
      <c r="D949" s="366"/>
      <c r="E949" s="366"/>
      <c r="F949" s="367"/>
      <c r="G949" s="367"/>
      <c r="H949" s="366"/>
      <c r="I949" s="366"/>
      <c r="J949" s="368"/>
      <c r="K949" s="368"/>
    </row>
    <row r="950" spans="1:11" ht="15">
      <c r="A950" s="341"/>
      <c r="B950" s="365"/>
      <c r="C950" s="365"/>
      <c r="D950" s="366"/>
      <c r="E950" s="366"/>
      <c r="F950" s="367"/>
      <c r="G950" s="367"/>
      <c r="H950" s="366"/>
      <c r="I950" s="366"/>
      <c r="J950" s="368"/>
      <c r="K950" s="368"/>
    </row>
    <row r="951" spans="1:11" ht="15">
      <c r="A951" s="341"/>
      <c r="B951" s="365"/>
      <c r="C951" s="365"/>
      <c r="D951" s="366"/>
      <c r="E951" s="366"/>
      <c r="F951" s="367"/>
      <c r="G951" s="367"/>
      <c r="H951" s="366"/>
      <c r="I951" s="366"/>
      <c r="J951" s="368"/>
      <c r="K951" s="368"/>
    </row>
    <row r="952" spans="1:11" ht="15">
      <c r="A952" s="341"/>
      <c r="B952" s="365"/>
      <c r="C952" s="365"/>
      <c r="D952" s="366"/>
      <c r="E952" s="366"/>
      <c r="F952" s="367"/>
      <c r="G952" s="367"/>
      <c r="H952" s="366"/>
      <c r="I952" s="366"/>
      <c r="J952" s="368"/>
      <c r="K952" s="368"/>
    </row>
    <row r="953" spans="1:11" ht="15">
      <c r="A953" s="341"/>
      <c r="B953" s="365"/>
      <c r="C953" s="365"/>
      <c r="D953" s="366"/>
      <c r="E953" s="366"/>
      <c r="F953" s="367"/>
      <c r="G953" s="367"/>
      <c r="H953" s="366"/>
      <c r="I953" s="366"/>
      <c r="J953" s="368"/>
      <c r="K953" s="368"/>
    </row>
    <row r="954" spans="1:11" ht="15">
      <c r="A954" s="341"/>
      <c r="B954" s="365"/>
      <c r="C954" s="365"/>
      <c r="D954" s="366"/>
      <c r="E954" s="366"/>
      <c r="F954" s="367"/>
      <c r="G954" s="367"/>
      <c r="H954" s="366"/>
      <c r="I954" s="366"/>
      <c r="J954" s="368"/>
      <c r="K954" s="368"/>
    </row>
    <row r="955" spans="1:11" ht="15">
      <c r="A955" s="341"/>
      <c r="B955" s="365"/>
      <c r="C955" s="365"/>
      <c r="D955" s="366"/>
      <c r="E955" s="366"/>
      <c r="F955" s="367"/>
      <c r="G955" s="367"/>
      <c r="H955" s="366"/>
      <c r="I955" s="366"/>
      <c r="J955" s="368"/>
      <c r="K955" s="368"/>
    </row>
    <row r="956" spans="1:11" ht="15">
      <c r="A956" s="341"/>
      <c r="B956" s="365"/>
      <c r="C956" s="365"/>
      <c r="D956" s="366"/>
      <c r="E956" s="366"/>
      <c r="F956" s="367"/>
      <c r="G956" s="367"/>
      <c r="H956" s="366"/>
      <c r="I956" s="366"/>
      <c r="J956" s="368"/>
      <c r="K956" s="368"/>
    </row>
    <row r="957" spans="1:11" ht="15">
      <c r="A957" s="341"/>
      <c r="B957" s="365"/>
      <c r="C957" s="365"/>
      <c r="D957" s="366"/>
      <c r="E957" s="366"/>
      <c r="F957" s="367"/>
      <c r="G957" s="367"/>
      <c r="H957" s="366"/>
      <c r="I957" s="366"/>
      <c r="J957" s="368"/>
      <c r="K957" s="368"/>
    </row>
    <row r="958" spans="1:11" ht="15">
      <c r="A958" s="341"/>
      <c r="B958" s="365"/>
      <c r="C958" s="365"/>
      <c r="D958" s="366"/>
      <c r="E958" s="366"/>
      <c r="F958" s="367"/>
      <c r="G958" s="367"/>
      <c r="H958" s="366"/>
      <c r="I958" s="366"/>
      <c r="J958" s="368"/>
      <c r="K958" s="368"/>
    </row>
    <row r="959" spans="1:11" ht="15">
      <c r="A959" s="341"/>
      <c r="B959" s="365"/>
      <c r="C959" s="365"/>
      <c r="D959" s="366"/>
      <c r="E959" s="366"/>
      <c r="F959" s="367"/>
      <c r="G959" s="367"/>
      <c r="H959" s="366"/>
      <c r="I959" s="366"/>
      <c r="J959" s="368"/>
      <c r="K959" s="368"/>
    </row>
    <row r="960" spans="1:11" ht="15">
      <c r="A960" s="341"/>
      <c r="B960" s="365"/>
      <c r="C960" s="365"/>
      <c r="D960" s="366"/>
      <c r="E960" s="366"/>
      <c r="F960" s="367"/>
      <c r="G960" s="367"/>
      <c r="H960" s="366"/>
      <c r="I960" s="366"/>
      <c r="J960" s="368"/>
      <c r="K960" s="368"/>
    </row>
    <row r="961" spans="1:11" ht="15">
      <c r="A961" s="341"/>
      <c r="B961" s="365"/>
      <c r="C961" s="365"/>
      <c r="D961" s="366"/>
      <c r="E961" s="366"/>
      <c r="F961" s="367"/>
      <c r="G961" s="367"/>
      <c r="H961" s="366"/>
      <c r="I961" s="366"/>
      <c r="J961" s="368"/>
      <c r="K961" s="368"/>
    </row>
    <row r="962" spans="1:11" ht="15">
      <c r="A962" s="341"/>
      <c r="B962" s="365"/>
      <c r="C962" s="365"/>
      <c r="D962" s="366"/>
      <c r="E962" s="366"/>
      <c r="F962" s="367"/>
      <c r="G962" s="367"/>
      <c r="H962" s="366"/>
      <c r="I962" s="366"/>
      <c r="J962" s="368"/>
      <c r="K962" s="368"/>
    </row>
    <row r="963" spans="1:11" ht="15">
      <c r="A963" s="341"/>
      <c r="B963" s="365"/>
      <c r="C963" s="365"/>
      <c r="D963" s="366"/>
      <c r="E963" s="366"/>
      <c r="F963" s="367"/>
      <c r="G963" s="367"/>
      <c r="H963" s="366"/>
      <c r="I963" s="366"/>
      <c r="J963" s="368"/>
      <c r="K963" s="368"/>
    </row>
    <row r="964" spans="1:11" ht="15">
      <c r="A964" s="341"/>
      <c r="B964" s="365"/>
      <c r="C964" s="365"/>
      <c r="D964" s="366"/>
      <c r="E964" s="366"/>
      <c r="F964" s="367"/>
      <c r="G964" s="367"/>
      <c r="H964" s="366"/>
      <c r="I964" s="366"/>
      <c r="J964" s="368"/>
      <c r="K964" s="368"/>
    </row>
    <row r="965" spans="1:11" ht="15">
      <c r="A965" s="341"/>
      <c r="B965" s="365"/>
      <c r="C965" s="365"/>
      <c r="D965" s="366"/>
      <c r="E965" s="366"/>
      <c r="F965" s="367"/>
      <c r="G965" s="367"/>
      <c r="H965" s="366"/>
      <c r="I965" s="366"/>
      <c r="J965" s="368"/>
      <c r="K965" s="368"/>
    </row>
    <row r="966" spans="1:11" ht="15">
      <c r="A966" s="341"/>
      <c r="B966" s="365"/>
      <c r="C966" s="365"/>
      <c r="D966" s="366"/>
      <c r="E966" s="366"/>
      <c r="F966" s="367"/>
      <c r="G966" s="367"/>
      <c r="H966" s="366"/>
      <c r="I966" s="366"/>
      <c r="J966" s="368"/>
      <c r="K966" s="368"/>
    </row>
    <row r="967" spans="1:11" ht="15">
      <c r="A967" s="341"/>
      <c r="B967" s="365"/>
      <c r="C967" s="365"/>
      <c r="D967" s="366"/>
      <c r="E967" s="366"/>
      <c r="F967" s="367"/>
      <c r="G967" s="367"/>
      <c r="H967" s="366"/>
      <c r="I967" s="366"/>
      <c r="J967" s="368"/>
      <c r="K967" s="368"/>
    </row>
    <row r="968" spans="1:11" ht="15">
      <c r="A968" s="341"/>
      <c r="B968" s="365"/>
      <c r="C968" s="365"/>
      <c r="D968" s="366"/>
      <c r="E968" s="366"/>
      <c r="F968" s="367"/>
      <c r="G968" s="367"/>
      <c r="H968" s="366"/>
      <c r="I968" s="366"/>
      <c r="J968" s="368"/>
      <c r="K968" s="368"/>
    </row>
    <row r="969" spans="1:11" ht="15">
      <c r="A969" s="341"/>
      <c r="B969" s="365"/>
      <c r="C969" s="365"/>
      <c r="D969" s="366"/>
      <c r="E969" s="366"/>
      <c r="F969" s="367"/>
      <c r="G969" s="367"/>
      <c r="H969" s="366"/>
      <c r="I969" s="366"/>
      <c r="J969" s="368"/>
      <c r="K969" s="368"/>
    </row>
    <row r="970" spans="1:11" ht="15">
      <c r="A970" s="341"/>
      <c r="B970" s="365"/>
      <c r="C970" s="365"/>
      <c r="D970" s="366"/>
      <c r="E970" s="366"/>
      <c r="F970" s="367"/>
      <c r="G970" s="367"/>
      <c r="H970" s="366"/>
      <c r="I970" s="366"/>
      <c r="J970" s="368"/>
      <c r="K970" s="368"/>
    </row>
    <row r="971" spans="1:11" ht="15">
      <c r="A971" s="341"/>
      <c r="B971" s="365"/>
      <c r="C971" s="365"/>
      <c r="D971" s="366"/>
      <c r="E971" s="366"/>
      <c r="F971" s="367"/>
      <c r="G971" s="367"/>
      <c r="H971" s="366"/>
      <c r="I971" s="366"/>
      <c r="J971" s="368"/>
      <c r="K971" s="368"/>
    </row>
    <row r="972" spans="1:11" ht="15">
      <c r="A972" s="341"/>
      <c r="B972" s="365"/>
      <c r="C972" s="365"/>
      <c r="D972" s="366"/>
      <c r="E972" s="366"/>
      <c r="F972" s="367"/>
      <c r="G972" s="367"/>
      <c r="H972" s="366"/>
      <c r="I972" s="366"/>
      <c r="J972" s="368"/>
      <c r="K972" s="368"/>
    </row>
    <row r="973" spans="1:11" ht="15">
      <c r="A973" s="341"/>
      <c r="B973" s="365"/>
      <c r="C973" s="365"/>
      <c r="D973" s="366"/>
      <c r="E973" s="366"/>
      <c r="F973" s="367"/>
      <c r="G973" s="367"/>
      <c r="H973" s="366"/>
      <c r="I973" s="366"/>
      <c r="J973" s="368"/>
      <c r="K973" s="368"/>
    </row>
    <row r="974" spans="1:11" ht="15">
      <c r="A974" s="341"/>
      <c r="B974" s="365"/>
      <c r="C974" s="365"/>
      <c r="D974" s="366"/>
      <c r="E974" s="366"/>
      <c r="F974" s="367"/>
      <c r="G974" s="367"/>
      <c r="H974" s="366"/>
      <c r="I974" s="366"/>
      <c r="J974" s="368"/>
      <c r="K974" s="368"/>
    </row>
    <row r="975" spans="1:11" ht="15">
      <c r="A975" s="341"/>
      <c r="B975" s="365"/>
      <c r="C975" s="365"/>
      <c r="D975" s="366"/>
      <c r="E975" s="366"/>
      <c r="F975" s="367"/>
      <c r="G975" s="367"/>
      <c r="H975" s="366"/>
      <c r="I975" s="366"/>
      <c r="J975" s="368"/>
      <c r="K975" s="368"/>
    </row>
    <row r="976" spans="1:11" ht="15">
      <c r="A976" s="341"/>
      <c r="B976" s="365"/>
      <c r="C976" s="365"/>
      <c r="D976" s="366"/>
      <c r="E976" s="366"/>
      <c r="F976" s="367"/>
      <c r="G976" s="367"/>
      <c r="H976" s="366"/>
      <c r="I976" s="366"/>
      <c r="J976" s="368"/>
      <c r="K976" s="368"/>
    </row>
    <row r="977" spans="1:11" ht="15">
      <c r="A977" s="341"/>
      <c r="B977" s="365"/>
      <c r="C977" s="365"/>
      <c r="D977" s="366"/>
      <c r="E977" s="366"/>
      <c r="F977" s="367"/>
      <c r="G977" s="367"/>
      <c r="H977" s="366"/>
      <c r="I977" s="366"/>
      <c r="J977" s="368"/>
      <c r="K977" s="368"/>
    </row>
    <row r="978" spans="1:11" ht="15">
      <c r="A978" s="341"/>
      <c r="B978" s="365"/>
      <c r="C978" s="365"/>
      <c r="D978" s="366"/>
      <c r="E978" s="366"/>
      <c r="F978" s="367"/>
      <c r="G978" s="367"/>
      <c r="H978" s="366"/>
      <c r="I978" s="366"/>
      <c r="J978" s="368"/>
      <c r="K978" s="368"/>
    </row>
    <row r="979" spans="1:11" ht="15">
      <c r="A979" s="341"/>
      <c r="B979" s="365"/>
      <c r="C979" s="365"/>
      <c r="D979" s="366"/>
      <c r="E979" s="366"/>
      <c r="F979" s="367"/>
      <c r="G979" s="367"/>
      <c r="H979" s="366"/>
      <c r="I979" s="366"/>
      <c r="J979" s="368"/>
      <c r="K979" s="368"/>
    </row>
    <row r="980" spans="1:11" ht="15">
      <c r="A980" s="341"/>
      <c r="B980" s="365"/>
      <c r="C980" s="365"/>
      <c r="D980" s="366"/>
      <c r="E980" s="366"/>
      <c r="F980" s="367"/>
      <c r="G980" s="367"/>
      <c r="H980" s="366"/>
      <c r="I980" s="366"/>
      <c r="J980" s="368"/>
      <c r="K980" s="368"/>
    </row>
    <row r="981" spans="1:11" ht="15">
      <c r="A981" s="341"/>
      <c r="B981" s="365"/>
      <c r="C981" s="365"/>
      <c r="D981" s="366"/>
      <c r="E981" s="366"/>
      <c r="F981" s="367"/>
      <c r="G981" s="367"/>
      <c r="H981" s="366"/>
      <c r="I981" s="366"/>
      <c r="J981" s="368"/>
      <c r="K981" s="368"/>
    </row>
    <row r="982" spans="1:11" ht="15">
      <c r="A982" s="341"/>
      <c r="B982" s="365"/>
      <c r="C982" s="365"/>
      <c r="D982" s="366"/>
      <c r="E982" s="366"/>
      <c r="F982" s="367"/>
      <c r="G982" s="367"/>
      <c r="H982" s="366"/>
      <c r="I982" s="366"/>
      <c r="J982" s="368"/>
      <c r="K982" s="368"/>
    </row>
    <row r="983" spans="1:11" ht="15">
      <c r="A983" s="341"/>
      <c r="B983" s="365"/>
      <c r="C983" s="365"/>
      <c r="D983" s="366"/>
      <c r="E983" s="366"/>
      <c r="F983" s="367"/>
      <c r="G983" s="367"/>
      <c r="H983" s="366"/>
      <c r="I983" s="366"/>
      <c r="J983" s="368"/>
      <c r="K983" s="368"/>
    </row>
    <row r="984" spans="1:11" ht="15">
      <c r="A984" s="341"/>
      <c r="B984" s="365"/>
      <c r="C984" s="365"/>
      <c r="D984" s="366"/>
      <c r="E984" s="366"/>
      <c r="F984" s="367"/>
      <c r="G984" s="367"/>
      <c r="H984" s="366"/>
      <c r="I984" s="366"/>
      <c r="J984" s="368"/>
      <c r="K984" s="368"/>
    </row>
    <row r="985" spans="1:11" ht="15">
      <c r="A985" s="341"/>
      <c r="B985" s="365"/>
      <c r="C985" s="365"/>
      <c r="D985" s="366"/>
      <c r="E985" s="366"/>
      <c r="F985" s="367"/>
      <c r="G985" s="367"/>
      <c r="H985" s="366"/>
      <c r="I985" s="366"/>
      <c r="J985" s="368"/>
      <c r="K985" s="368"/>
    </row>
    <row r="986" spans="1:11" ht="15">
      <c r="A986" s="341"/>
      <c r="B986" s="365"/>
      <c r="C986" s="365"/>
      <c r="D986" s="366"/>
      <c r="E986" s="366"/>
      <c r="F986" s="367"/>
      <c r="G986" s="367"/>
      <c r="H986" s="366"/>
      <c r="I986" s="366"/>
      <c r="J986" s="368"/>
      <c r="K986" s="368"/>
    </row>
    <row r="987" spans="1:11" ht="15">
      <c r="A987" s="341"/>
      <c r="B987" s="365"/>
      <c r="C987" s="365"/>
      <c r="D987" s="366"/>
      <c r="E987" s="366"/>
      <c r="F987" s="367"/>
      <c r="G987" s="367"/>
      <c r="H987" s="366"/>
      <c r="I987" s="366"/>
      <c r="J987" s="368"/>
      <c r="K987" s="368"/>
    </row>
    <row r="988" spans="1:11" ht="15">
      <c r="A988" s="341"/>
      <c r="B988" s="365"/>
      <c r="C988" s="365"/>
      <c r="D988" s="366"/>
      <c r="E988" s="366"/>
      <c r="F988" s="367"/>
      <c r="G988" s="367"/>
      <c r="H988" s="366"/>
      <c r="I988" s="366"/>
      <c r="J988" s="368"/>
      <c r="K988" s="368"/>
    </row>
    <row r="989" spans="1:11" ht="15">
      <c r="A989" s="341"/>
      <c r="B989" s="365"/>
      <c r="C989" s="365"/>
      <c r="D989" s="366"/>
      <c r="E989" s="366"/>
      <c r="F989" s="367"/>
      <c r="G989" s="367"/>
      <c r="H989" s="366"/>
      <c r="I989" s="366"/>
      <c r="J989" s="368"/>
      <c r="K989" s="368"/>
    </row>
    <row r="990" spans="1:11" ht="15">
      <c r="A990" s="341"/>
      <c r="B990" s="365"/>
      <c r="C990" s="365"/>
      <c r="D990" s="366"/>
      <c r="E990" s="366"/>
      <c r="F990" s="367"/>
      <c r="G990" s="367"/>
      <c r="H990" s="366"/>
      <c r="I990" s="366"/>
      <c r="J990" s="368"/>
      <c r="K990" s="368"/>
    </row>
    <row r="991" spans="1:11" ht="15">
      <c r="A991" s="341"/>
      <c r="B991" s="365"/>
      <c r="C991" s="365"/>
      <c r="D991" s="366"/>
      <c r="E991" s="366"/>
      <c r="F991" s="367"/>
      <c r="G991" s="367"/>
      <c r="H991" s="366"/>
      <c r="I991" s="366"/>
      <c r="J991" s="368"/>
      <c r="K991" s="368"/>
    </row>
    <row r="992" spans="1:11" ht="15">
      <c r="A992" s="341"/>
      <c r="B992" s="365"/>
      <c r="C992" s="365"/>
      <c r="D992" s="366"/>
      <c r="E992" s="366"/>
      <c r="F992" s="367"/>
      <c r="G992" s="367"/>
      <c r="H992" s="366"/>
      <c r="I992" s="366"/>
      <c r="J992" s="368"/>
      <c r="K992" s="368"/>
    </row>
    <row r="993" spans="1:11" ht="15">
      <c r="A993" s="341"/>
      <c r="B993" s="365"/>
      <c r="C993" s="365"/>
      <c r="D993" s="366"/>
      <c r="E993" s="366"/>
      <c r="F993" s="367"/>
      <c r="G993" s="367"/>
      <c r="H993" s="366"/>
      <c r="I993" s="366"/>
      <c r="J993" s="368"/>
      <c r="K993" s="368"/>
    </row>
    <row r="994" spans="1:11" ht="15">
      <c r="A994" s="341"/>
      <c r="B994" s="365"/>
      <c r="C994" s="365"/>
      <c r="D994" s="366"/>
      <c r="E994" s="366"/>
      <c r="F994" s="367"/>
      <c r="G994" s="367"/>
      <c r="H994" s="366"/>
      <c r="I994" s="366"/>
      <c r="J994" s="368"/>
      <c r="K994" s="368"/>
    </row>
    <row r="995" spans="1:11" ht="15">
      <c r="A995" s="341"/>
      <c r="B995" s="365"/>
      <c r="C995" s="365"/>
      <c r="D995" s="366"/>
      <c r="E995" s="366"/>
      <c r="F995" s="367"/>
      <c r="G995" s="367"/>
      <c r="H995" s="366"/>
      <c r="I995" s="366"/>
      <c r="J995" s="368"/>
      <c r="K995" s="368"/>
    </row>
    <row r="996" spans="1:11" ht="15">
      <c r="A996" s="341"/>
      <c r="B996" s="365"/>
      <c r="C996" s="365"/>
      <c r="D996" s="366"/>
      <c r="E996" s="366"/>
      <c r="F996" s="367"/>
      <c r="G996" s="367"/>
      <c r="H996" s="366"/>
      <c r="I996" s="366"/>
      <c r="J996" s="368"/>
      <c r="K996" s="368"/>
    </row>
    <row r="997" spans="1:11" ht="15">
      <c r="A997" s="341"/>
      <c r="B997" s="365"/>
      <c r="C997" s="365"/>
      <c r="D997" s="366"/>
      <c r="E997" s="366"/>
      <c r="F997" s="367"/>
      <c r="G997" s="367"/>
      <c r="H997" s="366"/>
      <c r="I997" s="366"/>
      <c r="J997" s="368"/>
      <c r="K997" s="368"/>
    </row>
    <row r="998" spans="1:11" ht="15">
      <c r="A998" s="341"/>
      <c r="B998" s="365"/>
      <c r="C998" s="365"/>
      <c r="D998" s="366"/>
      <c r="E998" s="366"/>
      <c r="F998" s="367"/>
      <c r="G998" s="367"/>
      <c r="H998" s="366"/>
      <c r="I998" s="366"/>
      <c r="J998" s="368"/>
      <c r="K998" s="368"/>
    </row>
    <row r="999" spans="1:11" ht="15">
      <c r="A999" s="341"/>
      <c r="B999" s="365"/>
      <c r="C999" s="365"/>
      <c r="D999" s="366"/>
      <c r="E999" s="366"/>
      <c r="F999" s="367"/>
      <c r="G999" s="367"/>
      <c r="H999" s="366"/>
      <c r="I999" s="366"/>
      <c r="J999" s="368"/>
      <c r="K999" s="368"/>
    </row>
    <row r="1000" spans="1:11" ht="15">
      <c r="A1000" s="341"/>
      <c r="B1000" s="365"/>
      <c r="C1000" s="365"/>
      <c r="D1000" s="366"/>
      <c r="E1000" s="366"/>
      <c r="F1000" s="367"/>
      <c r="G1000" s="367"/>
      <c r="H1000" s="366"/>
      <c r="I1000" s="366"/>
      <c r="J1000" s="368"/>
      <c r="K1000" s="368"/>
    </row>
    <row r="1001" spans="1:11" ht="15">
      <c r="A1001" s="341"/>
      <c r="B1001" s="365"/>
      <c r="C1001" s="365"/>
      <c r="D1001" s="366"/>
      <c r="E1001" s="366"/>
      <c r="F1001" s="367"/>
      <c r="G1001" s="367"/>
      <c r="H1001" s="366"/>
      <c r="I1001" s="366"/>
      <c r="J1001" s="368"/>
      <c r="K1001" s="368"/>
    </row>
    <row r="1002" spans="1:11" ht="15">
      <c r="A1002" s="341"/>
      <c r="B1002" s="365"/>
      <c r="C1002" s="365"/>
      <c r="D1002" s="366"/>
      <c r="E1002" s="366"/>
      <c r="F1002" s="367"/>
      <c r="G1002" s="367"/>
      <c r="H1002" s="366"/>
      <c r="I1002" s="366"/>
      <c r="J1002" s="368"/>
      <c r="K1002" s="368"/>
    </row>
    <row r="1003" spans="1:11" ht="15">
      <c r="A1003" s="341"/>
      <c r="B1003" s="365"/>
      <c r="C1003" s="365"/>
      <c r="D1003" s="366"/>
      <c r="E1003" s="366"/>
      <c r="F1003" s="367"/>
      <c r="G1003" s="367"/>
      <c r="H1003" s="366"/>
      <c r="I1003" s="366"/>
      <c r="J1003" s="368"/>
      <c r="K1003" s="368"/>
    </row>
    <row r="1004" spans="1:11" ht="15">
      <c r="A1004" s="341"/>
      <c r="B1004" s="365"/>
      <c r="C1004" s="365"/>
      <c r="D1004" s="366"/>
      <c r="E1004" s="366"/>
      <c r="F1004" s="367"/>
      <c r="G1004" s="367"/>
      <c r="H1004" s="366"/>
      <c r="I1004" s="366"/>
      <c r="J1004" s="368"/>
      <c r="K1004" s="368"/>
    </row>
    <row r="1005" spans="1:11" ht="15">
      <c r="A1005" s="341"/>
      <c r="B1005" s="365"/>
      <c r="C1005" s="365"/>
      <c r="D1005" s="366"/>
      <c r="E1005" s="366"/>
      <c r="F1005" s="367"/>
      <c r="G1005" s="367"/>
      <c r="H1005" s="366"/>
      <c r="I1005" s="366"/>
      <c r="J1005" s="368"/>
      <c r="K1005" s="368"/>
    </row>
    <row r="1006" spans="1:11" ht="15">
      <c r="A1006" s="341"/>
      <c r="B1006" s="365"/>
      <c r="C1006" s="365"/>
      <c r="D1006" s="366"/>
      <c r="E1006" s="366"/>
      <c r="F1006" s="367"/>
      <c r="G1006" s="367"/>
      <c r="H1006" s="366"/>
      <c r="I1006" s="366"/>
      <c r="J1006" s="368"/>
      <c r="K1006" s="368"/>
    </row>
    <row r="1007" spans="1:11" ht="15">
      <c r="A1007" s="341"/>
      <c r="B1007" s="365"/>
      <c r="C1007" s="365"/>
      <c r="D1007" s="366"/>
      <c r="E1007" s="366"/>
      <c r="F1007" s="367"/>
      <c r="G1007" s="367"/>
      <c r="H1007" s="366"/>
      <c r="I1007" s="366"/>
      <c r="J1007" s="368"/>
      <c r="K1007" s="368"/>
    </row>
    <row r="1008" spans="1:11" ht="15">
      <c r="A1008" s="341"/>
      <c r="B1008" s="365"/>
      <c r="C1008" s="365"/>
      <c r="D1008" s="366"/>
      <c r="E1008" s="366"/>
      <c r="F1008" s="367"/>
      <c r="G1008" s="367"/>
      <c r="H1008" s="366"/>
      <c r="I1008" s="366"/>
      <c r="J1008" s="368"/>
      <c r="K1008" s="368"/>
    </row>
    <row r="1009" spans="1:11" ht="15">
      <c r="A1009" s="341"/>
      <c r="B1009" s="365"/>
      <c r="C1009" s="365"/>
      <c r="D1009" s="366"/>
      <c r="E1009" s="366"/>
      <c r="F1009" s="367"/>
      <c r="G1009" s="367"/>
      <c r="H1009" s="366"/>
      <c r="I1009" s="366"/>
      <c r="J1009" s="368"/>
      <c r="K1009" s="368"/>
    </row>
    <row r="1010" spans="1:11" ht="15">
      <c r="A1010" s="341"/>
      <c r="B1010" s="365"/>
      <c r="C1010" s="365"/>
      <c r="D1010" s="366"/>
      <c r="E1010" s="366"/>
      <c r="F1010" s="367"/>
      <c r="G1010" s="367"/>
      <c r="H1010" s="366"/>
      <c r="I1010" s="366"/>
      <c r="J1010" s="368"/>
      <c r="K1010" s="368"/>
    </row>
    <row r="1011" spans="1:11" ht="15">
      <c r="A1011" s="341"/>
      <c r="B1011" s="365"/>
      <c r="C1011" s="365"/>
      <c r="D1011" s="366"/>
      <c r="E1011" s="366"/>
      <c r="F1011" s="367"/>
      <c r="G1011" s="367"/>
      <c r="H1011" s="366"/>
      <c r="I1011" s="366"/>
      <c r="J1011" s="368"/>
      <c r="K1011" s="368"/>
    </row>
    <row r="1012" spans="1:11" ht="15">
      <c r="A1012" s="341"/>
      <c r="B1012" s="365"/>
      <c r="C1012" s="365"/>
      <c r="D1012" s="366"/>
      <c r="E1012" s="366"/>
      <c r="F1012" s="367"/>
      <c r="G1012" s="367"/>
      <c r="H1012" s="366"/>
      <c r="I1012" s="366"/>
      <c r="J1012" s="368"/>
      <c r="K1012" s="368"/>
    </row>
    <row r="1013" spans="1:11" ht="15">
      <c r="A1013" s="341"/>
      <c r="B1013" s="365"/>
      <c r="C1013" s="365"/>
      <c r="D1013" s="366"/>
      <c r="E1013" s="366"/>
      <c r="F1013" s="367"/>
      <c r="G1013" s="367"/>
      <c r="H1013" s="366"/>
      <c r="I1013" s="366"/>
      <c r="J1013" s="368"/>
      <c r="K1013" s="368"/>
    </row>
    <row r="1014" spans="1:11" ht="15">
      <c r="A1014" s="341"/>
      <c r="B1014" s="365"/>
      <c r="C1014" s="365"/>
      <c r="D1014" s="366"/>
      <c r="E1014" s="366"/>
      <c r="F1014" s="367"/>
      <c r="G1014" s="367"/>
      <c r="H1014" s="366"/>
      <c r="I1014" s="366"/>
      <c r="J1014" s="368"/>
      <c r="K1014" s="368"/>
    </row>
    <row r="1015" spans="1:11" ht="15">
      <c r="A1015" s="341"/>
      <c r="B1015" s="365"/>
      <c r="C1015" s="365"/>
      <c r="D1015" s="366"/>
      <c r="E1015" s="366"/>
      <c r="F1015" s="367"/>
      <c r="G1015" s="367"/>
      <c r="H1015" s="366"/>
      <c r="I1015" s="366"/>
      <c r="J1015" s="368"/>
      <c r="K1015" s="368"/>
    </row>
    <row r="1016" spans="1:11" ht="15">
      <c r="A1016" s="341"/>
      <c r="B1016" s="365"/>
      <c r="C1016" s="365"/>
      <c r="D1016" s="366"/>
      <c r="E1016" s="366"/>
      <c r="F1016" s="367"/>
      <c r="G1016" s="367"/>
      <c r="H1016" s="366"/>
      <c r="I1016" s="366"/>
      <c r="J1016" s="368"/>
      <c r="K1016" s="368"/>
    </row>
    <row r="1017" spans="1:11" ht="15">
      <c r="A1017" s="341"/>
      <c r="B1017" s="365"/>
      <c r="C1017" s="365"/>
      <c r="D1017" s="366"/>
      <c r="E1017" s="366"/>
      <c r="F1017" s="367"/>
      <c r="G1017" s="367"/>
      <c r="H1017" s="366"/>
      <c r="I1017" s="366"/>
      <c r="J1017" s="368"/>
      <c r="K1017" s="368"/>
    </row>
    <row r="1018" spans="1:11" ht="15">
      <c r="A1018" s="341"/>
      <c r="B1018" s="365"/>
      <c r="C1018" s="365"/>
      <c r="D1018" s="366"/>
      <c r="E1018" s="366"/>
      <c r="F1018" s="367"/>
      <c r="G1018" s="367"/>
      <c r="H1018" s="366"/>
      <c r="I1018" s="366"/>
      <c r="J1018" s="368"/>
      <c r="K1018" s="368"/>
    </row>
    <row r="1019" spans="1:11" ht="15">
      <c r="A1019" s="341"/>
      <c r="B1019" s="365"/>
      <c r="C1019" s="365"/>
      <c r="D1019" s="366"/>
      <c r="E1019" s="366"/>
      <c r="F1019" s="367"/>
      <c r="G1019" s="367"/>
      <c r="H1019" s="366"/>
      <c r="I1019" s="366"/>
      <c r="J1019" s="368"/>
      <c r="K1019" s="368"/>
    </row>
    <row r="1020" spans="1:11" ht="15">
      <c r="A1020" s="341"/>
      <c r="B1020" s="365"/>
      <c r="C1020" s="365"/>
      <c r="D1020" s="366"/>
      <c r="E1020" s="366"/>
      <c r="F1020" s="367"/>
      <c r="G1020" s="367"/>
      <c r="H1020" s="366"/>
      <c r="I1020" s="366"/>
      <c r="J1020" s="368"/>
      <c r="K1020" s="368"/>
    </row>
    <row r="1021" spans="1:11" ht="15">
      <c r="A1021" s="341"/>
      <c r="B1021" s="365"/>
      <c r="C1021" s="365"/>
      <c r="D1021" s="366"/>
      <c r="E1021" s="366"/>
      <c r="F1021" s="367"/>
      <c r="G1021" s="367"/>
      <c r="H1021" s="366"/>
      <c r="I1021" s="366"/>
      <c r="J1021" s="368"/>
      <c r="K1021" s="368"/>
    </row>
    <row r="1022" spans="1:11" ht="15">
      <c r="A1022" s="341"/>
      <c r="B1022" s="365"/>
      <c r="C1022" s="365"/>
      <c r="D1022" s="366"/>
      <c r="E1022" s="366"/>
      <c r="F1022" s="367"/>
      <c r="G1022" s="367"/>
      <c r="H1022" s="366"/>
      <c r="I1022" s="366"/>
      <c r="J1022" s="368"/>
      <c r="K1022" s="368"/>
    </row>
    <row r="1023" spans="1:11" ht="15">
      <c r="A1023" s="341"/>
      <c r="B1023" s="365"/>
      <c r="C1023" s="365"/>
      <c r="D1023" s="366"/>
      <c r="E1023" s="366"/>
      <c r="F1023" s="367"/>
      <c r="G1023" s="367"/>
      <c r="H1023" s="366"/>
      <c r="I1023" s="366"/>
      <c r="J1023" s="368"/>
      <c r="K1023" s="368"/>
    </row>
    <row r="1024" spans="1:11" ht="15">
      <c r="A1024" s="341"/>
      <c r="B1024" s="365"/>
      <c r="C1024" s="365"/>
      <c r="D1024" s="366"/>
      <c r="E1024" s="366"/>
      <c r="F1024" s="367"/>
      <c r="G1024" s="367"/>
      <c r="H1024" s="366"/>
      <c r="I1024" s="366"/>
      <c r="J1024" s="368"/>
      <c r="K1024" s="368"/>
    </row>
    <row r="1025" spans="1:11" ht="15">
      <c r="A1025" s="341"/>
      <c r="B1025" s="365"/>
      <c r="C1025" s="365"/>
      <c r="D1025" s="366"/>
      <c r="E1025" s="366"/>
      <c r="F1025" s="367"/>
      <c r="G1025" s="367"/>
      <c r="H1025" s="366"/>
      <c r="I1025" s="366"/>
      <c r="J1025" s="368"/>
      <c r="K1025" s="368"/>
    </row>
    <row r="1026" spans="1:11" ht="15">
      <c r="A1026" s="341"/>
      <c r="B1026" s="365"/>
      <c r="C1026" s="365"/>
      <c r="D1026" s="366"/>
      <c r="E1026" s="366"/>
      <c r="F1026" s="367"/>
      <c r="G1026" s="367"/>
      <c r="H1026" s="366"/>
      <c r="I1026" s="366"/>
      <c r="J1026" s="368"/>
      <c r="K1026" s="368"/>
    </row>
    <row r="1027" spans="1:11" ht="15">
      <c r="A1027" s="341"/>
      <c r="B1027" s="365"/>
      <c r="C1027" s="365"/>
      <c r="D1027" s="366"/>
      <c r="E1027" s="366"/>
      <c r="F1027" s="367"/>
      <c r="G1027" s="367"/>
      <c r="H1027" s="366"/>
      <c r="I1027" s="366"/>
      <c r="J1027" s="368"/>
      <c r="K1027" s="368"/>
    </row>
    <row r="1028" spans="1:11" ht="15">
      <c r="A1028" s="341"/>
      <c r="B1028" s="365"/>
      <c r="C1028" s="365"/>
      <c r="D1028" s="366"/>
      <c r="E1028" s="366"/>
      <c r="F1028" s="367"/>
      <c r="G1028" s="367"/>
      <c r="H1028" s="366"/>
      <c r="I1028" s="366"/>
      <c r="J1028" s="368"/>
      <c r="K1028" s="368"/>
    </row>
    <row r="1029" spans="1:11" ht="15">
      <c r="A1029" s="341"/>
      <c r="B1029" s="365"/>
      <c r="C1029" s="365"/>
      <c r="D1029" s="366"/>
      <c r="E1029" s="366"/>
      <c r="F1029" s="367"/>
      <c r="G1029" s="367"/>
      <c r="H1029" s="366"/>
      <c r="I1029" s="366"/>
      <c r="J1029" s="368"/>
      <c r="K1029" s="368"/>
    </row>
    <row r="1030" spans="1:11" ht="15">
      <c r="A1030" s="341"/>
      <c r="B1030" s="365"/>
      <c r="C1030" s="365"/>
      <c r="D1030" s="366"/>
      <c r="E1030" s="366"/>
      <c r="F1030" s="367"/>
      <c r="G1030" s="367"/>
      <c r="H1030" s="366"/>
      <c r="I1030" s="366"/>
      <c r="J1030" s="368"/>
      <c r="K1030" s="368"/>
    </row>
    <row r="1031" spans="1:11" ht="15">
      <c r="A1031" s="341"/>
      <c r="B1031" s="365"/>
      <c r="C1031" s="365"/>
      <c r="D1031" s="366"/>
      <c r="E1031" s="366"/>
      <c r="F1031" s="367"/>
      <c r="G1031" s="367"/>
      <c r="H1031" s="366"/>
      <c r="I1031" s="366"/>
      <c r="J1031" s="368"/>
      <c r="K1031" s="368"/>
    </row>
    <row r="1032" spans="1:11" ht="15">
      <c r="A1032" s="341"/>
      <c r="B1032" s="365"/>
      <c r="C1032" s="365"/>
      <c r="D1032" s="366"/>
      <c r="E1032" s="366"/>
      <c r="F1032" s="367"/>
      <c r="G1032" s="367"/>
      <c r="H1032" s="366"/>
      <c r="I1032" s="366"/>
      <c r="J1032" s="368"/>
      <c r="K1032" s="368"/>
    </row>
    <row r="1033" spans="1:11" ht="15">
      <c r="A1033" s="341"/>
      <c r="B1033" s="365"/>
      <c r="C1033" s="365"/>
      <c r="D1033" s="366"/>
      <c r="E1033" s="366"/>
      <c r="F1033" s="367"/>
      <c r="G1033" s="367"/>
      <c r="H1033" s="366"/>
      <c r="I1033" s="366"/>
      <c r="J1033" s="368"/>
      <c r="K1033" s="368"/>
    </row>
    <row r="1034" spans="1:11" ht="15">
      <c r="A1034" s="341"/>
      <c r="B1034" s="365"/>
      <c r="C1034" s="365"/>
      <c r="D1034" s="366"/>
      <c r="E1034" s="366"/>
      <c r="F1034" s="367"/>
      <c r="G1034" s="367"/>
      <c r="H1034" s="366"/>
      <c r="I1034" s="366"/>
      <c r="J1034" s="368"/>
      <c r="K1034" s="368"/>
    </row>
    <row r="1035" spans="1:11" ht="15">
      <c r="A1035" s="341"/>
      <c r="B1035" s="365"/>
      <c r="C1035" s="365"/>
      <c r="D1035" s="366"/>
      <c r="E1035" s="366"/>
      <c r="F1035" s="367"/>
      <c r="G1035" s="367"/>
      <c r="H1035" s="366"/>
      <c r="I1035" s="366"/>
      <c r="J1035" s="368"/>
      <c r="K1035" s="368"/>
    </row>
    <row r="1036" spans="1:11" ht="15">
      <c r="A1036" s="341"/>
      <c r="B1036" s="365"/>
      <c r="C1036" s="365"/>
      <c r="D1036" s="366"/>
      <c r="E1036" s="366"/>
      <c r="F1036" s="367"/>
      <c r="G1036" s="367"/>
      <c r="H1036" s="366"/>
      <c r="I1036" s="366"/>
      <c r="J1036" s="368"/>
      <c r="K1036" s="368"/>
    </row>
    <row r="1037" spans="1:11" ht="15">
      <c r="A1037" s="341"/>
      <c r="B1037" s="365"/>
      <c r="C1037" s="365"/>
      <c r="D1037" s="366"/>
      <c r="E1037" s="366"/>
      <c r="F1037" s="367"/>
      <c r="G1037" s="367"/>
      <c r="H1037" s="366"/>
      <c r="I1037" s="366"/>
      <c r="J1037" s="368"/>
      <c r="K1037" s="368"/>
    </row>
    <row r="1038" spans="1:11" ht="15">
      <c r="A1038" s="341"/>
      <c r="B1038" s="365"/>
      <c r="C1038" s="365"/>
      <c r="D1038" s="366"/>
      <c r="E1038" s="366"/>
      <c r="F1038" s="367"/>
      <c r="G1038" s="367"/>
      <c r="H1038" s="366"/>
      <c r="I1038" s="366"/>
      <c r="J1038" s="368"/>
      <c r="K1038" s="368"/>
    </row>
    <row r="1039" spans="1:11" ht="15">
      <c r="A1039" s="341"/>
      <c r="B1039" s="365"/>
      <c r="C1039" s="365"/>
      <c r="D1039" s="366"/>
      <c r="E1039" s="366"/>
      <c r="F1039" s="367"/>
      <c r="G1039" s="367"/>
      <c r="H1039" s="366"/>
      <c r="I1039" s="366"/>
      <c r="J1039" s="368"/>
      <c r="K1039" s="368"/>
    </row>
    <row r="1040" spans="1:11" ht="15">
      <c r="A1040" s="341"/>
      <c r="B1040" s="365"/>
      <c r="C1040" s="365"/>
      <c r="D1040" s="366"/>
      <c r="E1040" s="366"/>
      <c r="F1040" s="367"/>
      <c r="G1040" s="367"/>
      <c r="H1040" s="366"/>
      <c r="I1040" s="366"/>
      <c r="J1040" s="368"/>
      <c r="K1040" s="368"/>
    </row>
    <row r="1041" spans="1:11" ht="15">
      <c r="A1041" s="341"/>
      <c r="B1041" s="365"/>
      <c r="C1041" s="365"/>
      <c r="D1041" s="366"/>
      <c r="E1041" s="366"/>
      <c r="F1041" s="367"/>
      <c r="G1041" s="367"/>
      <c r="H1041" s="366"/>
      <c r="I1041" s="366"/>
      <c r="J1041" s="368"/>
      <c r="K1041" s="368"/>
    </row>
    <row r="1042" spans="1:11" ht="15">
      <c r="A1042" s="341"/>
      <c r="B1042" s="365"/>
      <c r="C1042" s="365"/>
      <c r="D1042" s="366"/>
      <c r="E1042" s="366"/>
      <c r="F1042" s="367"/>
      <c r="G1042" s="367"/>
      <c r="H1042" s="366"/>
      <c r="I1042" s="366"/>
      <c r="J1042" s="368"/>
      <c r="K1042" s="368"/>
    </row>
    <row r="1043" spans="1:11" ht="15">
      <c r="A1043" s="341"/>
      <c r="B1043" s="365"/>
      <c r="C1043" s="365"/>
      <c r="D1043" s="366"/>
      <c r="E1043" s="366"/>
      <c r="F1043" s="367"/>
      <c r="G1043" s="367"/>
      <c r="H1043" s="366"/>
      <c r="I1043" s="366"/>
      <c r="J1043" s="368"/>
      <c r="K1043" s="368"/>
    </row>
    <row r="1044" spans="1:11" ht="15">
      <c r="A1044" s="341"/>
      <c r="B1044" s="365"/>
      <c r="C1044" s="365"/>
      <c r="D1044" s="366"/>
      <c r="E1044" s="366"/>
      <c r="F1044" s="367"/>
      <c r="G1044" s="367"/>
      <c r="H1044" s="366"/>
      <c r="I1044" s="366"/>
      <c r="J1044" s="368"/>
      <c r="K1044" s="368"/>
    </row>
    <row r="1045" spans="1:11" ht="15">
      <c r="A1045" s="341"/>
      <c r="B1045" s="365"/>
      <c r="C1045" s="365"/>
      <c r="D1045" s="366"/>
      <c r="E1045" s="366"/>
      <c r="F1045" s="367"/>
      <c r="G1045" s="367"/>
      <c r="H1045" s="366"/>
      <c r="I1045" s="366"/>
      <c r="J1045" s="368"/>
      <c r="K1045" s="368"/>
    </row>
    <row r="1046" spans="1:11" ht="15">
      <c r="A1046" s="341"/>
      <c r="B1046" s="365"/>
      <c r="C1046" s="365"/>
      <c r="D1046" s="366"/>
      <c r="E1046" s="366"/>
      <c r="F1046" s="367"/>
      <c r="G1046" s="367"/>
      <c r="H1046" s="366"/>
      <c r="I1046" s="366"/>
      <c r="J1046" s="368"/>
      <c r="K1046" s="368"/>
    </row>
    <row r="1047" spans="1:11" ht="15">
      <c r="A1047" s="341"/>
      <c r="B1047" s="365"/>
      <c r="C1047" s="365"/>
      <c r="D1047" s="366"/>
      <c r="E1047" s="366"/>
      <c r="F1047" s="367"/>
      <c r="G1047" s="367"/>
      <c r="H1047" s="366"/>
      <c r="I1047" s="366"/>
      <c r="J1047" s="368"/>
      <c r="K1047" s="368"/>
    </row>
    <row r="1048" spans="1:11" ht="15">
      <c r="A1048" s="341"/>
      <c r="B1048" s="365"/>
      <c r="C1048" s="365"/>
      <c r="D1048" s="366"/>
      <c r="E1048" s="366"/>
      <c r="F1048" s="367"/>
      <c r="G1048" s="367"/>
      <c r="H1048" s="366"/>
      <c r="I1048" s="366"/>
      <c r="J1048" s="368"/>
      <c r="K1048" s="368"/>
    </row>
    <row r="1049" spans="1:11" ht="15">
      <c r="A1049" s="341"/>
      <c r="B1049" s="365"/>
      <c r="C1049" s="365"/>
      <c r="D1049" s="366"/>
      <c r="E1049" s="366"/>
      <c r="F1049" s="367"/>
      <c r="G1049" s="367"/>
      <c r="H1049" s="366"/>
      <c r="I1049" s="366"/>
      <c r="J1049" s="368"/>
      <c r="K1049" s="368"/>
    </row>
    <row r="1050" spans="1:11" ht="15">
      <c r="A1050" s="341"/>
      <c r="B1050" s="365"/>
      <c r="C1050" s="365"/>
      <c r="D1050" s="366"/>
      <c r="E1050" s="366"/>
      <c r="F1050" s="367"/>
      <c r="G1050" s="367"/>
      <c r="H1050" s="366"/>
      <c r="I1050" s="366"/>
      <c r="J1050" s="368"/>
      <c r="K1050" s="368"/>
    </row>
    <row r="1051" spans="1:11" ht="15">
      <c r="A1051" s="341"/>
      <c r="B1051" s="365"/>
      <c r="C1051" s="365"/>
      <c r="D1051" s="366"/>
      <c r="E1051" s="366"/>
      <c r="F1051" s="367"/>
      <c r="G1051" s="367"/>
      <c r="H1051" s="366"/>
      <c r="I1051" s="366"/>
      <c r="J1051" s="368"/>
      <c r="K1051" s="368"/>
    </row>
    <row r="1052" spans="1:11" ht="15">
      <c r="A1052" s="341"/>
      <c r="B1052" s="365"/>
      <c r="C1052" s="365"/>
      <c r="D1052" s="366"/>
      <c r="E1052" s="366"/>
      <c r="F1052" s="367"/>
      <c r="G1052" s="367"/>
      <c r="H1052" s="366"/>
      <c r="I1052" s="366"/>
      <c r="J1052" s="368"/>
      <c r="K1052" s="368"/>
    </row>
    <row r="1053" spans="1:11" ht="15">
      <c r="A1053" s="341"/>
      <c r="B1053" s="365"/>
      <c r="C1053" s="365"/>
      <c r="D1053" s="366"/>
      <c r="E1053" s="366"/>
      <c r="F1053" s="367"/>
      <c r="G1053" s="367"/>
      <c r="H1053" s="366"/>
      <c r="I1053" s="366"/>
      <c r="J1053" s="368"/>
      <c r="K1053" s="368"/>
    </row>
    <row r="1054" spans="1:11" ht="15">
      <c r="A1054" s="341"/>
      <c r="B1054" s="365"/>
      <c r="C1054" s="365"/>
      <c r="D1054" s="366"/>
      <c r="E1054" s="366"/>
      <c r="F1054" s="367"/>
      <c r="G1054" s="367"/>
      <c r="H1054" s="366"/>
      <c r="I1054" s="366"/>
      <c r="J1054" s="368"/>
      <c r="K1054" s="368"/>
    </row>
    <row r="1055" spans="1:11" ht="15">
      <c r="A1055" s="341"/>
      <c r="B1055" s="365"/>
      <c r="C1055" s="365"/>
      <c r="D1055" s="366"/>
      <c r="E1055" s="366"/>
      <c r="F1055" s="367"/>
      <c r="G1055" s="367"/>
      <c r="H1055" s="366"/>
      <c r="I1055" s="366"/>
      <c r="J1055" s="368"/>
      <c r="K1055" s="368"/>
    </row>
    <row r="1056" spans="1:11" ht="15">
      <c r="A1056" s="341"/>
      <c r="B1056" s="365"/>
      <c r="C1056" s="365"/>
      <c r="D1056" s="366"/>
      <c r="E1056" s="366"/>
      <c r="F1056" s="367"/>
      <c r="G1056" s="367"/>
      <c r="H1056" s="366"/>
      <c r="I1056" s="366"/>
      <c r="J1056" s="368"/>
      <c r="K1056" s="368"/>
    </row>
    <row r="1057" spans="1:11" ht="15">
      <c r="A1057" s="341"/>
      <c r="B1057" s="365"/>
      <c r="C1057" s="365"/>
      <c r="D1057" s="366"/>
      <c r="E1057" s="366"/>
      <c r="F1057" s="367"/>
      <c r="G1057" s="367"/>
      <c r="H1057" s="366"/>
      <c r="I1057" s="366"/>
      <c r="J1057" s="368"/>
      <c r="K1057" s="368"/>
    </row>
    <row r="1058" spans="1:11" ht="15">
      <c r="A1058" s="341"/>
      <c r="B1058" s="365"/>
      <c r="C1058" s="365"/>
      <c r="D1058" s="366"/>
      <c r="E1058" s="366"/>
      <c r="F1058" s="367"/>
      <c r="G1058" s="367"/>
      <c r="H1058" s="366"/>
      <c r="I1058" s="366"/>
      <c r="J1058" s="368"/>
      <c r="K1058" s="368"/>
    </row>
    <row r="1059" spans="1:11" ht="15">
      <c r="A1059" s="341"/>
      <c r="B1059" s="365"/>
      <c r="C1059" s="365"/>
      <c r="D1059" s="366"/>
      <c r="E1059" s="366"/>
      <c r="F1059" s="367"/>
      <c r="G1059" s="367"/>
      <c r="H1059" s="366"/>
      <c r="I1059" s="366"/>
      <c r="J1059" s="368"/>
      <c r="K1059" s="368"/>
    </row>
    <row r="1060" spans="1:11" ht="15">
      <c r="A1060" s="341"/>
      <c r="B1060" s="365"/>
      <c r="C1060" s="365"/>
      <c r="D1060" s="366"/>
      <c r="E1060" s="366"/>
      <c r="F1060" s="367"/>
      <c r="G1060" s="367"/>
      <c r="H1060" s="366"/>
      <c r="I1060" s="366"/>
      <c r="J1060" s="368"/>
      <c r="K1060" s="368"/>
    </row>
    <row r="1061" spans="1:11" ht="15">
      <c r="A1061" s="341"/>
      <c r="B1061" s="365"/>
      <c r="C1061" s="365"/>
      <c r="D1061" s="366"/>
      <c r="E1061" s="366"/>
      <c r="F1061" s="367"/>
      <c r="G1061" s="367"/>
      <c r="H1061" s="366"/>
      <c r="I1061" s="366"/>
      <c r="J1061" s="368"/>
      <c r="K1061" s="368"/>
    </row>
    <row r="1062" spans="1:11" ht="15">
      <c r="A1062" s="341"/>
      <c r="B1062" s="365"/>
      <c r="C1062" s="365"/>
      <c r="D1062" s="366"/>
      <c r="E1062" s="366"/>
      <c r="F1062" s="367"/>
      <c r="G1062" s="367"/>
      <c r="H1062" s="366"/>
      <c r="I1062" s="366"/>
      <c r="J1062" s="368"/>
      <c r="K1062" s="368"/>
    </row>
    <row r="1063" spans="1:11" ht="15">
      <c r="A1063" s="341"/>
      <c r="B1063" s="365"/>
      <c r="C1063" s="365"/>
      <c r="D1063" s="366"/>
      <c r="E1063" s="366"/>
      <c r="F1063" s="367"/>
      <c r="G1063" s="367"/>
      <c r="H1063" s="366"/>
      <c r="I1063" s="366"/>
      <c r="J1063" s="368"/>
      <c r="K1063" s="368"/>
    </row>
    <row r="1064" spans="1:11" ht="15">
      <c r="A1064" s="341"/>
      <c r="B1064" s="365"/>
      <c r="C1064" s="365"/>
      <c r="D1064" s="366"/>
      <c r="E1064" s="366"/>
      <c r="F1064" s="367"/>
      <c r="G1064" s="367"/>
      <c r="H1064" s="366"/>
      <c r="I1064" s="366"/>
      <c r="J1064" s="368"/>
      <c r="K1064" s="368"/>
    </row>
    <row r="1065" spans="1:11" ht="15">
      <c r="A1065" s="341"/>
      <c r="B1065" s="365"/>
      <c r="C1065" s="365"/>
      <c r="D1065" s="366"/>
      <c r="E1065" s="366"/>
      <c r="F1065" s="367"/>
      <c r="G1065" s="367"/>
      <c r="H1065" s="366"/>
      <c r="I1065" s="366"/>
      <c r="J1065" s="368"/>
      <c r="K1065" s="368"/>
    </row>
    <row r="1066" spans="1:11" ht="15">
      <c r="A1066" s="341"/>
      <c r="B1066" s="365"/>
      <c r="C1066" s="365"/>
      <c r="D1066" s="366"/>
      <c r="E1066" s="366"/>
      <c r="F1066" s="367"/>
      <c r="G1066" s="367"/>
      <c r="H1066" s="366"/>
      <c r="I1066" s="366"/>
      <c r="J1066" s="368"/>
      <c r="K1066" s="368"/>
    </row>
    <row r="1067" spans="1:11" ht="15">
      <c r="A1067" s="341"/>
      <c r="B1067" s="365"/>
      <c r="C1067" s="365"/>
      <c r="D1067" s="366"/>
      <c r="E1067" s="366"/>
      <c r="F1067" s="367"/>
      <c r="G1067" s="367"/>
      <c r="H1067" s="366"/>
      <c r="I1067" s="366"/>
      <c r="J1067" s="368"/>
      <c r="K1067" s="368"/>
    </row>
    <row r="1068" spans="1:11" ht="15">
      <c r="A1068" s="341"/>
      <c r="B1068" s="365"/>
      <c r="C1068" s="365"/>
      <c r="D1068" s="366"/>
      <c r="E1068" s="366"/>
      <c r="F1068" s="367"/>
      <c r="G1068" s="367"/>
      <c r="H1068" s="366"/>
      <c r="I1068" s="366"/>
      <c r="J1068" s="368"/>
      <c r="K1068" s="368"/>
    </row>
    <row r="1069" spans="1:11" ht="15">
      <c r="A1069" s="341"/>
      <c r="B1069" s="365"/>
      <c r="C1069" s="365"/>
      <c r="D1069" s="366"/>
      <c r="E1069" s="366"/>
      <c r="F1069" s="367"/>
      <c r="G1069" s="367"/>
      <c r="H1069" s="366"/>
      <c r="I1069" s="366"/>
      <c r="J1069" s="368"/>
      <c r="K1069" s="368"/>
    </row>
    <row r="1070" spans="1:11" ht="15">
      <c r="A1070" s="341"/>
      <c r="B1070" s="365"/>
      <c r="C1070" s="365"/>
      <c r="D1070" s="366"/>
      <c r="E1070" s="366"/>
      <c r="F1070" s="367"/>
      <c r="G1070" s="367"/>
      <c r="H1070" s="366"/>
      <c r="I1070" s="366"/>
      <c r="J1070" s="368"/>
      <c r="K1070" s="368"/>
    </row>
    <row r="1071" spans="1:11" ht="15">
      <c r="A1071" s="341"/>
      <c r="B1071" s="365"/>
      <c r="C1071" s="365"/>
      <c r="D1071" s="366"/>
      <c r="E1071" s="366"/>
      <c r="F1071" s="367"/>
      <c r="G1071" s="367"/>
      <c r="H1071" s="366"/>
      <c r="I1071" s="366"/>
      <c r="J1071" s="368"/>
      <c r="K1071" s="368"/>
    </row>
    <row r="1072" spans="1:11" ht="15">
      <c r="A1072" s="341"/>
      <c r="B1072" s="365"/>
      <c r="C1072" s="365"/>
      <c r="D1072" s="366"/>
      <c r="E1072" s="366"/>
      <c r="F1072" s="367"/>
      <c r="G1072" s="367"/>
      <c r="H1072" s="366"/>
      <c r="I1072" s="366"/>
      <c r="J1072" s="368"/>
      <c r="K1072" s="368"/>
    </row>
    <row r="1073" spans="1:11" ht="15">
      <c r="A1073" s="341"/>
      <c r="B1073" s="365"/>
      <c r="C1073" s="365"/>
      <c r="D1073" s="366"/>
      <c r="E1073" s="366"/>
      <c r="F1073" s="367"/>
      <c r="G1073" s="367"/>
      <c r="H1073" s="366"/>
      <c r="I1073" s="366"/>
      <c r="J1073" s="368"/>
      <c r="K1073" s="368"/>
    </row>
    <row r="1074" spans="1:11" ht="15">
      <c r="A1074" s="341"/>
      <c r="B1074" s="365"/>
      <c r="C1074" s="365"/>
      <c r="D1074" s="366"/>
      <c r="E1074" s="366"/>
      <c r="F1074" s="367"/>
      <c r="G1074" s="367"/>
      <c r="H1074" s="366"/>
      <c r="I1074" s="366"/>
      <c r="J1074" s="368"/>
      <c r="K1074" s="368"/>
    </row>
    <row r="1075" spans="1:11" ht="15">
      <c r="A1075" s="341"/>
      <c r="B1075" s="365"/>
      <c r="C1075" s="365"/>
      <c r="D1075" s="366"/>
      <c r="E1075" s="366"/>
      <c r="F1075" s="367"/>
      <c r="G1075" s="367"/>
      <c r="H1075" s="366"/>
      <c r="I1075" s="366"/>
      <c r="J1075" s="368"/>
      <c r="K1075" s="368"/>
    </row>
    <row r="1076" spans="1:11" ht="15">
      <c r="A1076" s="341"/>
      <c r="B1076" s="365"/>
      <c r="C1076" s="365"/>
      <c r="D1076" s="366"/>
      <c r="E1076" s="366"/>
      <c r="F1076" s="367"/>
      <c r="G1076" s="367"/>
      <c r="H1076" s="366"/>
      <c r="I1076" s="366"/>
      <c r="J1076" s="368"/>
      <c r="K1076" s="368"/>
    </row>
    <row r="1077" spans="1:11" ht="15">
      <c r="A1077" s="341"/>
      <c r="B1077" s="365"/>
      <c r="C1077" s="365"/>
      <c r="D1077" s="366"/>
      <c r="E1077" s="366"/>
      <c r="F1077" s="367"/>
      <c r="G1077" s="367"/>
      <c r="H1077" s="366"/>
      <c r="I1077" s="366"/>
      <c r="J1077" s="368"/>
      <c r="K1077" s="368"/>
    </row>
    <row r="1078" spans="1:11" ht="15">
      <c r="A1078" s="341"/>
      <c r="B1078" s="365"/>
      <c r="C1078" s="365"/>
      <c r="D1078" s="366"/>
      <c r="E1078" s="366"/>
      <c r="F1078" s="367"/>
      <c r="G1078" s="367"/>
      <c r="H1078" s="366"/>
      <c r="I1078" s="366"/>
      <c r="J1078" s="368"/>
      <c r="K1078" s="368"/>
    </row>
    <row r="1079" spans="1:11" ht="15">
      <c r="A1079" s="341"/>
      <c r="B1079" s="365"/>
      <c r="C1079" s="365"/>
      <c r="D1079" s="366"/>
      <c r="E1079" s="366"/>
      <c r="F1079" s="367"/>
      <c r="G1079" s="367"/>
      <c r="H1079" s="366"/>
      <c r="I1079" s="366"/>
      <c r="J1079" s="368"/>
      <c r="K1079" s="368"/>
    </row>
    <row r="1080" spans="1:11" ht="15">
      <c r="A1080" s="341"/>
      <c r="B1080" s="365"/>
      <c r="C1080" s="365"/>
      <c r="D1080" s="366"/>
      <c r="E1080" s="366"/>
      <c r="F1080" s="367"/>
      <c r="G1080" s="367"/>
      <c r="H1080" s="366"/>
      <c r="I1080" s="366"/>
      <c r="J1080" s="368"/>
      <c r="K1080" s="368"/>
    </row>
    <row r="1081" spans="1:11" ht="15">
      <c r="A1081" s="341"/>
      <c r="B1081" s="365"/>
      <c r="C1081" s="365"/>
      <c r="D1081" s="366"/>
      <c r="E1081" s="366"/>
      <c r="F1081" s="367"/>
      <c r="G1081" s="367"/>
      <c r="H1081" s="366"/>
      <c r="I1081" s="366"/>
      <c r="J1081" s="368"/>
      <c r="K1081" s="368"/>
    </row>
    <row r="1082" spans="1:11" ht="15">
      <c r="A1082" s="341"/>
      <c r="B1082" s="365"/>
      <c r="C1082" s="365"/>
      <c r="D1082" s="366"/>
      <c r="E1082" s="366"/>
      <c r="F1082" s="367"/>
      <c r="G1082" s="367"/>
      <c r="H1082" s="366"/>
      <c r="I1082" s="366"/>
      <c r="J1082" s="368"/>
      <c r="K1082" s="368"/>
    </row>
    <row r="1083" spans="1:11" ht="15">
      <c r="A1083" s="341"/>
      <c r="B1083" s="365"/>
      <c r="C1083" s="365"/>
      <c r="D1083" s="366"/>
      <c r="E1083" s="366"/>
      <c r="F1083" s="367"/>
      <c r="G1083" s="367"/>
      <c r="H1083" s="366"/>
      <c r="I1083" s="366"/>
      <c r="J1083" s="368"/>
      <c r="K1083" s="368"/>
    </row>
    <row r="1084" spans="1:11" ht="15">
      <c r="A1084" s="341"/>
      <c r="B1084" s="365"/>
      <c r="C1084" s="365"/>
      <c r="D1084" s="366"/>
      <c r="E1084" s="366"/>
      <c r="F1084" s="367"/>
      <c r="G1084" s="367"/>
      <c r="H1084" s="366"/>
      <c r="I1084" s="366"/>
      <c r="J1084" s="368"/>
      <c r="K1084" s="368"/>
    </row>
    <row r="1085" spans="1:11" ht="15">
      <c r="A1085" s="341"/>
      <c r="B1085" s="365"/>
      <c r="C1085" s="365"/>
      <c r="D1085" s="366"/>
      <c r="E1085" s="366"/>
      <c r="F1085" s="367"/>
      <c r="G1085" s="367"/>
      <c r="H1085" s="366"/>
      <c r="I1085" s="366"/>
      <c r="J1085" s="368"/>
      <c r="K1085" s="368"/>
    </row>
    <row r="1086" spans="1:11" ht="15">
      <c r="A1086" s="341"/>
      <c r="B1086" s="365"/>
      <c r="C1086" s="365"/>
      <c r="D1086" s="366"/>
      <c r="E1086" s="366"/>
      <c r="F1086" s="367"/>
      <c r="G1086" s="367"/>
      <c r="H1086" s="366"/>
      <c r="I1086" s="366"/>
      <c r="J1086" s="368"/>
      <c r="K1086" s="368"/>
    </row>
    <row r="1087" spans="1:11" ht="15">
      <c r="A1087" s="341"/>
      <c r="B1087" s="365"/>
      <c r="C1087" s="365"/>
      <c r="D1087" s="366"/>
      <c r="E1087" s="366"/>
      <c r="F1087" s="367"/>
      <c r="G1087" s="367"/>
      <c r="H1087" s="366"/>
      <c r="I1087" s="366"/>
      <c r="J1087" s="368"/>
      <c r="K1087" s="368"/>
    </row>
    <row r="1088" spans="1:11" ht="15">
      <c r="A1088" s="341"/>
      <c r="B1088" s="365"/>
      <c r="C1088" s="365"/>
      <c r="D1088" s="366"/>
      <c r="E1088" s="366"/>
      <c r="F1088" s="367"/>
      <c r="G1088" s="367"/>
      <c r="H1088" s="366"/>
      <c r="I1088" s="366"/>
      <c r="J1088" s="368"/>
      <c r="K1088" s="368"/>
    </row>
    <row r="1089" spans="1:11" ht="15">
      <c r="A1089" s="341"/>
      <c r="B1089" s="365"/>
      <c r="C1089" s="365"/>
      <c r="D1089" s="366"/>
      <c r="E1089" s="366"/>
      <c r="F1089" s="367"/>
      <c r="G1089" s="367"/>
      <c r="H1089" s="366"/>
      <c r="I1089" s="366"/>
      <c r="J1089" s="368"/>
      <c r="K1089" s="368"/>
    </row>
    <row r="1090" spans="1:11" ht="15">
      <c r="A1090" s="341"/>
      <c r="B1090" s="365"/>
      <c r="C1090" s="365"/>
      <c r="D1090" s="366"/>
      <c r="E1090" s="366"/>
      <c r="F1090" s="367"/>
      <c r="G1090" s="367"/>
      <c r="H1090" s="366"/>
      <c r="I1090" s="366"/>
      <c r="J1090" s="368"/>
      <c r="K1090" s="368"/>
    </row>
    <row r="1091" spans="1:11" ht="15">
      <c r="A1091" s="341"/>
      <c r="B1091" s="365"/>
      <c r="C1091" s="365"/>
      <c r="D1091" s="366"/>
      <c r="E1091" s="366"/>
      <c r="F1091" s="367"/>
      <c r="G1091" s="367"/>
      <c r="H1091" s="366"/>
      <c r="I1091" s="366"/>
      <c r="J1091" s="368"/>
      <c r="K1091" s="368"/>
    </row>
    <row r="1092" spans="1:11" ht="15">
      <c r="A1092" s="341"/>
      <c r="B1092" s="365"/>
      <c r="C1092" s="365"/>
      <c r="D1092" s="366"/>
      <c r="E1092" s="366"/>
      <c r="F1092" s="367"/>
      <c r="G1092" s="367"/>
      <c r="H1092" s="366"/>
      <c r="I1092" s="366"/>
      <c r="J1092" s="368"/>
      <c r="K1092" s="368"/>
    </row>
    <row r="1093" spans="1:11" ht="15">
      <c r="A1093" s="341"/>
      <c r="B1093" s="365"/>
      <c r="C1093" s="365"/>
      <c r="D1093" s="366"/>
      <c r="E1093" s="366"/>
      <c r="F1093" s="367"/>
      <c r="G1093" s="367"/>
      <c r="H1093" s="366"/>
      <c r="I1093" s="366"/>
      <c r="J1093" s="368"/>
      <c r="K1093" s="368"/>
    </row>
    <row r="1094" spans="1:11" ht="15">
      <c r="A1094" s="341"/>
      <c r="B1094" s="365"/>
      <c r="C1094" s="365"/>
      <c r="D1094" s="366"/>
      <c r="E1094" s="366"/>
      <c r="F1094" s="367"/>
      <c r="G1094" s="367"/>
      <c r="H1094" s="366"/>
      <c r="I1094" s="366"/>
      <c r="J1094" s="368"/>
      <c r="K1094" s="368"/>
    </row>
    <row r="1095" spans="1:11" ht="15">
      <c r="A1095" s="341"/>
      <c r="B1095" s="365"/>
      <c r="C1095" s="365"/>
      <c r="D1095" s="366"/>
      <c r="E1095" s="366"/>
      <c r="F1095" s="367"/>
      <c r="G1095" s="367"/>
      <c r="H1095" s="366"/>
      <c r="I1095" s="366"/>
      <c r="J1095" s="368"/>
      <c r="K1095" s="368"/>
    </row>
    <row r="1096" spans="1:11" ht="15">
      <c r="A1096" s="341"/>
      <c r="B1096" s="365"/>
      <c r="C1096" s="365"/>
      <c r="D1096" s="366"/>
      <c r="E1096" s="366"/>
      <c r="F1096" s="367"/>
      <c r="G1096" s="367"/>
      <c r="H1096" s="366"/>
      <c r="I1096" s="366"/>
      <c r="J1096" s="368"/>
      <c r="K1096" s="368"/>
    </row>
    <row r="1097" spans="1:11" ht="15">
      <c r="A1097" s="341"/>
      <c r="B1097" s="365"/>
      <c r="C1097" s="365"/>
      <c r="D1097" s="366"/>
      <c r="E1097" s="366"/>
      <c r="F1097" s="367"/>
      <c r="G1097" s="367"/>
      <c r="H1097" s="366"/>
      <c r="I1097" s="366"/>
      <c r="J1097" s="368"/>
      <c r="K1097" s="368"/>
    </row>
    <row r="1098" spans="1:11" ht="15">
      <c r="A1098" s="341"/>
      <c r="B1098" s="365"/>
      <c r="C1098" s="365"/>
      <c r="D1098" s="366"/>
      <c r="E1098" s="366"/>
      <c r="F1098" s="367"/>
      <c r="G1098" s="367"/>
      <c r="H1098" s="366"/>
      <c r="I1098" s="366"/>
      <c r="J1098" s="368"/>
      <c r="K1098" s="368"/>
    </row>
    <row r="1099" spans="1:11" ht="15">
      <c r="A1099" s="341"/>
      <c r="B1099" s="365"/>
      <c r="C1099" s="365"/>
      <c r="D1099" s="366"/>
      <c r="E1099" s="366"/>
      <c r="F1099" s="367"/>
      <c r="G1099" s="367"/>
      <c r="H1099" s="366"/>
      <c r="I1099" s="366"/>
      <c r="J1099" s="368"/>
      <c r="K1099" s="368"/>
    </row>
    <row r="1100" spans="1:11" ht="15">
      <c r="A1100" s="341"/>
      <c r="B1100" s="365"/>
      <c r="C1100" s="365"/>
      <c r="D1100" s="366"/>
      <c r="E1100" s="366"/>
      <c r="F1100" s="367"/>
      <c r="G1100" s="367"/>
      <c r="H1100" s="366"/>
      <c r="I1100" s="366"/>
      <c r="J1100" s="368"/>
      <c r="K1100" s="368"/>
    </row>
    <row r="1101" spans="1:11" ht="15">
      <c r="A1101" s="341"/>
      <c r="B1101" s="365"/>
      <c r="C1101" s="365"/>
      <c r="D1101" s="366"/>
      <c r="E1101" s="366"/>
      <c r="F1101" s="367"/>
      <c r="G1101" s="367"/>
      <c r="H1101" s="366"/>
      <c r="I1101" s="366"/>
      <c r="J1101" s="368"/>
      <c r="K1101" s="368"/>
    </row>
    <row r="1102" spans="1:11" ht="15">
      <c r="A1102" s="341"/>
      <c r="B1102" s="365"/>
      <c r="C1102" s="365"/>
      <c r="D1102" s="366"/>
      <c r="E1102" s="366"/>
      <c r="F1102" s="367"/>
      <c r="G1102" s="367"/>
      <c r="H1102" s="366"/>
      <c r="I1102" s="366"/>
      <c r="J1102" s="368"/>
      <c r="K1102" s="368"/>
    </row>
    <row r="1103" spans="1:11" ht="15">
      <c r="A1103" s="341"/>
      <c r="B1103" s="365"/>
      <c r="C1103" s="365"/>
      <c r="D1103" s="366"/>
      <c r="E1103" s="366"/>
      <c r="F1103" s="367"/>
      <c r="G1103" s="367"/>
      <c r="H1103" s="366"/>
      <c r="I1103" s="366"/>
      <c r="J1103" s="368"/>
      <c r="K1103" s="368"/>
    </row>
    <row r="1104" spans="1:11" ht="15">
      <c r="A1104" s="341"/>
      <c r="B1104" s="365"/>
      <c r="C1104" s="365"/>
      <c r="D1104" s="366"/>
      <c r="E1104" s="366"/>
      <c r="F1104" s="367"/>
      <c r="G1104" s="367"/>
      <c r="H1104" s="366"/>
      <c r="I1104" s="366"/>
      <c r="J1104" s="368"/>
      <c r="K1104" s="368"/>
    </row>
    <row r="1105" spans="1:11" ht="15">
      <c r="A1105" s="341"/>
      <c r="B1105" s="365"/>
      <c r="C1105" s="365"/>
      <c r="D1105" s="366"/>
      <c r="E1105" s="366"/>
      <c r="F1105" s="367"/>
      <c r="G1105" s="367"/>
      <c r="H1105" s="366"/>
      <c r="I1105" s="366"/>
      <c r="J1105" s="368"/>
      <c r="K1105" s="368"/>
    </row>
    <row r="1106" spans="1:11" ht="15">
      <c r="A1106" s="341"/>
      <c r="B1106" s="365"/>
      <c r="C1106" s="365"/>
      <c r="D1106" s="366"/>
      <c r="E1106" s="366"/>
      <c r="F1106" s="367"/>
      <c r="G1106" s="367"/>
      <c r="H1106" s="366"/>
      <c r="I1106" s="366"/>
      <c r="J1106" s="368"/>
      <c r="K1106" s="368"/>
    </row>
    <row r="1107" spans="1:11" ht="15">
      <c r="A1107" s="341"/>
      <c r="B1107" s="365"/>
      <c r="C1107" s="365"/>
      <c r="D1107" s="366"/>
      <c r="E1107" s="366"/>
      <c r="F1107" s="367"/>
      <c r="G1107" s="367"/>
      <c r="H1107" s="366"/>
      <c r="I1107" s="366"/>
      <c r="J1107" s="368"/>
      <c r="K1107" s="368"/>
    </row>
    <row r="1108" spans="1:11" ht="15">
      <c r="A1108" s="341"/>
      <c r="B1108" s="365"/>
      <c r="C1108" s="365"/>
      <c r="D1108" s="366"/>
      <c r="E1108" s="366"/>
      <c r="F1108" s="367"/>
      <c r="G1108" s="367"/>
      <c r="H1108" s="366"/>
      <c r="I1108" s="366"/>
      <c r="J1108" s="368"/>
      <c r="K1108" s="368"/>
    </row>
    <row r="1109" spans="1:11" ht="15">
      <c r="A1109" s="341"/>
      <c r="B1109" s="365"/>
      <c r="C1109" s="365"/>
      <c r="D1109" s="366"/>
      <c r="E1109" s="366"/>
      <c r="F1109" s="367"/>
      <c r="G1109" s="367"/>
      <c r="H1109" s="366"/>
      <c r="I1109" s="366"/>
      <c r="J1109" s="368"/>
      <c r="K1109" s="368"/>
    </row>
    <row r="1110" spans="1:11" ht="15">
      <c r="A1110" s="341"/>
      <c r="B1110" s="365"/>
      <c r="C1110" s="365"/>
      <c r="D1110" s="366"/>
      <c r="E1110" s="366"/>
      <c r="F1110" s="367"/>
      <c r="G1110" s="367"/>
      <c r="H1110" s="366"/>
      <c r="I1110" s="366"/>
      <c r="J1110" s="368"/>
      <c r="K1110" s="368"/>
    </row>
    <row r="1111" spans="1:11" ht="15">
      <c r="A1111" s="341"/>
      <c r="B1111" s="365"/>
      <c r="C1111" s="365"/>
      <c r="D1111" s="366"/>
      <c r="E1111" s="366"/>
      <c r="F1111" s="367"/>
      <c r="G1111" s="367"/>
      <c r="H1111" s="366"/>
      <c r="I1111" s="366"/>
      <c r="J1111" s="368"/>
      <c r="K1111" s="368"/>
    </row>
    <row r="1112" spans="1:11" ht="15">
      <c r="A1112" s="341"/>
      <c r="B1112" s="365"/>
      <c r="C1112" s="365"/>
      <c r="D1112" s="366"/>
      <c r="E1112" s="366"/>
      <c r="F1112" s="367"/>
      <c r="G1112" s="367"/>
      <c r="H1112" s="366"/>
      <c r="I1112" s="366"/>
      <c r="J1112" s="368"/>
      <c r="K1112" s="368"/>
    </row>
    <row r="1113" spans="1:11" ht="15">
      <c r="A1113" s="341"/>
      <c r="B1113" s="365"/>
      <c r="C1113" s="365"/>
      <c r="D1113" s="366"/>
      <c r="E1113" s="366"/>
      <c r="F1113" s="367"/>
      <c r="G1113" s="367"/>
      <c r="H1113" s="366"/>
      <c r="I1113" s="366"/>
      <c r="J1113" s="368"/>
      <c r="K1113" s="368"/>
    </row>
    <row r="1114" spans="1:11" ht="15">
      <c r="A1114" s="341"/>
      <c r="B1114" s="365"/>
      <c r="C1114" s="365"/>
      <c r="D1114" s="366"/>
      <c r="E1114" s="366"/>
      <c r="F1114" s="367"/>
      <c r="G1114" s="367"/>
      <c r="H1114" s="366"/>
      <c r="I1114" s="366"/>
      <c r="J1114" s="368"/>
      <c r="K1114" s="368"/>
    </row>
    <row r="1115" spans="1:11" ht="15">
      <c r="A1115" s="341"/>
      <c r="B1115" s="365"/>
      <c r="C1115" s="365"/>
      <c r="D1115" s="366"/>
      <c r="E1115" s="366"/>
      <c r="F1115" s="367"/>
      <c r="G1115" s="367"/>
      <c r="H1115" s="366"/>
      <c r="I1115" s="366"/>
      <c r="J1115" s="368"/>
      <c r="K1115" s="368"/>
    </row>
    <row r="1116" spans="1:11" ht="15">
      <c r="A1116" s="341"/>
      <c r="B1116" s="365"/>
      <c r="C1116" s="365"/>
      <c r="D1116" s="366"/>
      <c r="E1116" s="366"/>
      <c r="F1116" s="367"/>
      <c r="G1116" s="367"/>
      <c r="H1116" s="366"/>
      <c r="I1116" s="366"/>
      <c r="J1116" s="368"/>
      <c r="K1116" s="368"/>
    </row>
    <row r="1117" spans="1:11" ht="15">
      <c r="A1117" s="341"/>
      <c r="B1117" s="365"/>
      <c r="C1117" s="365"/>
      <c r="D1117" s="366"/>
      <c r="E1117" s="366"/>
      <c r="F1117" s="367"/>
      <c r="G1117" s="367"/>
      <c r="H1117" s="366"/>
      <c r="I1117" s="366"/>
      <c r="J1117" s="368"/>
      <c r="K1117" s="368"/>
    </row>
    <row r="1118" spans="1:11" ht="15">
      <c r="A1118" s="341"/>
      <c r="B1118" s="365"/>
      <c r="C1118" s="365"/>
      <c r="D1118" s="366"/>
      <c r="E1118" s="366"/>
      <c r="F1118" s="367"/>
      <c r="G1118" s="367"/>
      <c r="H1118" s="366"/>
      <c r="I1118" s="366"/>
      <c r="J1118" s="368"/>
      <c r="K1118" s="368"/>
    </row>
    <row r="1119" spans="1:11" ht="15">
      <c r="A1119" s="341"/>
      <c r="B1119" s="365"/>
      <c r="C1119" s="365"/>
      <c r="D1119" s="366"/>
      <c r="E1119" s="366"/>
      <c r="F1119" s="367"/>
      <c r="G1119" s="367"/>
      <c r="H1119" s="366"/>
      <c r="I1119" s="366"/>
      <c r="J1119" s="368"/>
      <c r="K1119" s="368"/>
    </row>
    <row r="1120" spans="1:11" ht="15">
      <c r="A1120" s="341"/>
      <c r="B1120" s="365"/>
      <c r="C1120" s="365"/>
      <c r="D1120" s="366"/>
      <c r="E1120" s="366"/>
      <c r="F1120" s="367"/>
      <c r="G1120" s="367"/>
      <c r="H1120" s="366"/>
      <c r="I1120" s="366"/>
      <c r="J1120" s="368"/>
      <c r="K1120" s="368"/>
    </row>
    <row r="1121" spans="1:11" ht="15">
      <c r="A1121" s="341"/>
      <c r="B1121" s="365"/>
      <c r="C1121" s="365"/>
      <c r="D1121" s="366"/>
      <c r="E1121" s="366"/>
      <c r="F1121" s="367"/>
      <c r="G1121" s="367"/>
      <c r="H1121" s="366"/>
      <c r="I1121" s="366"/>
      <c r="J1121" s="368"/>
      <c r="K1121" s="368"/>
    </row>
    <row r="1122" spans="1:11" ht="15">
      <c r="A1122" s="341"/>
      <c r="B1122" s="365"/>
      <c r="C1122" s="365"/>
      <c r="D1122" s="366"/>
      <c r="E1122" s="366"/>
      <c r="F1122" s="367"/>
      <c r="G1122" s="367"/>
      <c r="H1122" s="366"/>
      <c r="I1122" s="366"/>
      <c r="J1122" s="368"/>
      <c r="K1122" s="368"/>
    </row>
    <row r="1123" spans="1:11" ht="15">
      <c r="A1123" s="341"/>
      <c r="B1123" s="365"/>
      <c r="C1123" s="365"/>
      <c r="D1123" s="366"/>
      <c r="E1123" s="366"/>
      <c r="F1123" s="367"/>
      <c r="G1123" s="367"/>
      <c r="H1123" s="366"/>
      <c r="I1123" s="366"/>
      <c r="J1123" s="368"/>
      <c r="K1123" s="368"/>
    </row>
    <row r="1124" spans="1:11" ht="15">
      <c r="A1124" s="341"/>
      <c r="B1124" s="365"/>
      <c r="C1124" s="365"/>
      <c r="D1124" s="366"/>
      <c r="E1124" s="366"/>
      <c r="F1124" s="367"/>
      <c r="G1124" s="367"/>
      <c r="H1124" s="366"/>
      <c r="I1124" s="366"/>
      <c r="J1124" s="368"/>
      <c r="K1124" s="368"/>
    </row>
    <row r="1125" spans="1:11" ht="15">
      <c r="A1125" s="341"/>
      <c r="B1125" s="365"/>
      <c r="C1125" s="365"/>
      <c r="D1125" s="366"/>
      <c r="E1125" s="366"/>
      <c r="F1125" s="367"/>
      <c r="G1125" s="367"/>
      <c r="H1125" s="366"/>
      <c r="I1125" s="366"/>
      <c r="J1125" s="368"/>
      <c r="K1125" s="368"/>
    </row>
    <row r="1126" spans="1:11" ht="15">
      <c r="A1126" s="341"/>
      <c r="B1126" s="365"/>
      <c r="C1126" s="365"/>
      <c r="D1126" s="366"/>
      <c r="E1126" s="366"/>
      <c r="F1126" s="367"/>
      <c r="G1126" s="367"/>
      <c r="H1126" s="366"/>
      <c r="I1126" s="366"/>
      <c r="J1126" s="368"/>
      <c r="K1126" s="368"/>
    </row>
    <row r="1127" spans="1:11" ht="15">
      <c r="A1127" s="341"/>
      <c r="B1127" s="365"/>
      <c r="C1127" s="365"/>
      <c r="D1127" s="366"/>
      <c r="E1127" s="366"/>
      <c r="F1127" s="367"/>
      <c r="G1127" s="367"/>
      <c r="H1127" s="366"/>
      <c r="I1127" s="366"/>
      <c r="J1127" s="368"/>
      <c r="K1127" s="368"/>
    </row>
    <row r="1128" spans="1:11" ht="15">
      <c r="A1128" s="341"/>
      <c r="B1128" s="365"/>
      <c r="C1128" s="365"/>
      <c r="D1128" s="366"/>
      <c r="E1128" s="366"/>
      <c r="F1128" s="367"/>
      <c r="G1128" s="367"/>
      <c r="H1128" s="366"/>
      <c r="I1128" s="366"/>
      <c r="J1128" s="368"/>
      <c r="K1128" s="368"/>
    </row>
    <row r="1129" spans="1:11" ht="15">
      <c r="A1129" s="341"/>
      <c r="B1129" s="365"/>
      <c r="C1129" s="365"/>
      <c r="D1129" s="366"/>
      <c r="E1129" s="366"/>
      <c r="F1129" s="367"/>
      <c r="G1129" s="367"/>
      <c r="H1129" s="366"/>
      <c r="I1129" s="366"/>
      <c r="J1129" s="368"/>
      <c r="K1129" s="368"/>
    </row>
    <row r="1130" spans="1:11" ht="15">
      <c r="A1130" s="341"/>
      <c r="B1130" s="365"/>
      <c r="C1130" s="365"/>
      <c r="D1130" s="366"/>
      <c r="E1130" s="366"/>
      <c r="F1130" s="367"/>
      <c r="G1130" s="367"/>
      <c r="H1130" s="366"/>
      <c r="I1130" s="366"/>
      <c r="J1130" s="368"/>
      <c r="K1130" s="368"/>
    </row>
    <row r="1131" spans="1:11" ht="15">
      <c r="A1131" s="341"/>
      <c r="B1131" s="365"/>
      <c r="C1131" s="365"/>
      <c r="D1131" s="366"/>
      <c r="E1131" s="366"/>
      <c r="F1131" s="367"/>
      <c r="G1131" s="367"/>
      <c r="H1131" s="366"/>
      <c r="I1131" s="366"/>
      <c r="J1131" s="368"/>
      <c r="K1131" s="368"/>
    </row>
    <row r="1132" spans="1:11" ht="15">
      <c r="A1132" s="341"/>
      <c r="B1132" s="365"/>
      <c r="C1132" s="365"/>
      <c r="D1132" s="366"/>
      <c r="E1132" s="366"/>
      <c r="F1132" s="367"/>
      <c r="G1132" s="367"/>
      <c r="H1132" s="366"/>
      <c r="I1132" s="366"/>
      <c r="J1132" s="368"/>
      <c r="K1132" s="368"/>
    </row>
    <row r="1133" spans="1:11" ht="15">
      <c r="A1133" s="341"/>
      <c r="B1133" s="365"/>
      <c r="C1133" s="365"/>
      <c r="D1133" s="366"/>
      <c r="E1133" s="366"/>
      <c r="F1133" s="367"/>
      <c r="G1133" s="367"/>
      <c r="H1133" s="366"/>
      <c r="I1133" s="366"/>
      <c r="J1133" s="368"/>
      <c r="K1133" s="368"/>
    </row>
    <row r="1134" spans="1:11" ht="15">
      <c r="A1134" s="341"/>
      <c r="B1134" s="365"/>
      <c r="C1134" s="365"/>
      <c r="D1134" s="366"/>
      <c r="E1134" s="366"/>
      <c r="F1134" s="367"/>
      <c r="G1134" s="367"/>
      <c r="H1134" s="366"/>
      <c r="I1134" s="366"/>
      <c r="J1134" s="368"/>
      <c r="K1134" s="368"/>
    </row>
    <row r="1135" spans="1:11" ht="15">
      <c r="A1135" s="341"/>
      <c r="B1135" s="365"/>
      <c r="C1135" s="365"/>
      <c r="D1135" s="366"/>
      <c r="E1135" s="366"/>
      <c r="F1135" s="367"/>
      <c r="G1135" s="367"/>
      <c r="H1135" s="366"/>
      <c r="I1135" s="366"/>
      <c r="J1135" s="368"/>
      <c r="K1135" s="368"/>
    </row>
    <row r="1136" spans="1:11" ht="15">
      <c r="A1136" s="341"/>
      <c r="B1136" s="365"/>
      <c r="C1136" s="365"/>
      <c r="D1136" s="366"/>
      <c r="E1136" s="366"/>
      <c r="F1136" s="367"/>
      <c r="G1136" s="367"/>
      <c r="H1136" s="366"/>
      <c r="I1136" s="366"/>
      <c r="J1136" s="368"/>
      <c r="K1136" s="368"/>
    </row>
    <row r="1137" spans="1:11" ht="15">
      <c r="A1137" s="341"/>
      <c r="B1137" s="365"/>
      <c r="C1137" s="365"/>
      <c r="D1137" s="366"/>
      <c r="E1137" s="366"/>
      <c r="F1137" s="367"/>
      <c r="G1137" s="367"/>
      <c r="H1137" s="366"/>
      <c r="I1137" s="366"/>
      <c r="J1137" s="368"/>
      <c r="K1137" s="368"/>
    </row>
    <row r="1138" spans="1:11" ht="15">
      <c r="A1138" s="341"/>
      <c r="B1138" s="365"/>
      <c r="C1138" s="365"/>
      <c r="D1138" s="366"/>
      <c r="E1138" s="366"/>
      <c r="F1138" s="367"/>
      <c r="G1138" s="367"/>
      <c r="H1138" s="366"/>
      <c r="I1138" s="366"/>
      <c r="J1138" s="368"/>
      <c r="K1138" s="368"/>
    </row>
    <row r="1139" spans="1:11" ht="15">
      <c r="A1139" s="341"/>
      <c r="B1139" s="365"/>
      <c r="C1139" s="365"/>
      <c r="D1139" s="366"/>
      <c r="E1139" s="366"/>
      <c r="F1139" s="367"/>
      <c r="G1139" s="367"/>
      <c r="H1139" s="366"/>
      <c r="I1139" s="366"/>
      <c r="J1139" s="368"/>
      <c r="K1139" s="368"/>
    </row>
    <row r="1140" spans="1:11" ht="15">
      <c r="A1140" s="341"/>
      <c r="B1140" s="365"/>
      <c r="C1140" s="365"/>
      <c r="D1140" s="366"/>
      <c r="E1140" s="366"/>
      <c r="F1140" s="367"/>
      <c r="G1140" s="367"/>
      <c r="H1140" s="366"/>
      <c r="I1140" s="366"/>
      <c r="J1140" s="368"/>
      <c r="K1140" s="368"/>
    </row>
    <row r="1141" spans="1:11" ht="15">
      <c r="A1141" s="341"/>
      <c r="B1141" s="365"/>
      <c r="C1141" s="365"/>
      <c r="D1141" s="366"/>
      <c r="E1141" s="366"/>
      <c r="F1141" s="367"/>
      <c r="G1141" s="367"/>
      <c r="H1141" s="366"/>
      <c r="I1141" s="366"/>
      <c r="J1141" s="368"/>
      <c r="K1141" s="368"/>
    </row>
    <row r="1142" spans="1:11" ht="15">
      <c r="A1142" s="341"/>
      <c r="B1142" s="365"/>
      <c r="C1142" s="365"/>
      <c r="D1142" s="366"/>
      <c r="E1142" s="366"/>
      <c r="F1142" s="367"/>
      <c r="G1142" s="367"/>
      <c r="H1142" s="366"/>
      <c r="I1142" s="366"/>
      <c r="J1142" s="368"/>
      <c r="K1142" s="368"/>
    </row>
    <row r="1143" spans="1:11" ht="15">
      <c r="A1143" s="341"/>
      <c r="B1143" s="365"/>
      <c r="C1143" s="365"/>
      <c r="D1143" s="366"/>
      <c r="E1143" s="366"/>
      <c r="F1143" s="367"/>
      <c r="G1143" s="367"/>
      <c r="H1143" s="366"/>
      <c r="I1143" s="366"/>
      <c r="J1143" s="368"/>
      <c r="K1143" s="368"/>
    </row>
    <row r="1144" spans="1:11" ht="15">
      <c r="A1144" s="341"/>
      <c r="B1144" s="365"/>
      <c r="C1144" s="365"/>
      <c r="D1144" s="366"/>
      <c r="E1144" s="366"/>
      <c r="F1144" s="367"/>
      <c r="G1144" s="367"/>
      <c r="H1144" s="366"/>
      <c r="I1144" s="366"/>
      <c r="J1144" s="368"/>
      <c r="K1144" s="368"/>
    </row>
    <row r="1145" spans="1:11" ht="15">
      <c r="A1145" s="341"/>
      <c r="B1145" s="365"/>
      <c r="C1145" s="365"/>
      <c r="D1145" s="366"/>
      <c r="E1145" s="366"/>
      <c r="F1145" s="367"/>
      <c r="G1145" s="367"/>
      <c r="H1145" s="366"/>
      <c r="I1145" s="366"/>
      <c r="J1145" s="368"/>
      <c r="K1145" s="368"/>
    </row>
    <row r="1146" spans="1:11" ht="15">
      <c r="A1146" s="341"/>
      <c r="B1146" s="365"/>
      <c r="C1146" s="365"/>
      <c r="D1146" s="366"/>
      <c r="E1146" s="366"/>
      <c r="F1146" s="367"/>
      <c r="G1146" s="367"/>
      <c r="H1146" s="366"/>
      <c r="I1146" s="366"/>
      <c r="J1146" s="368"/>
      <c r="K1146" s="368"/>
    </row>
    <row r="1147" spans="1:11" ht="15">
      <c r="A1147" s="341"/>
      <c r="B1147" s="365"/>
      <c r="C1147" s="365"/>
      <c r="D1147" s="366"/>
      <c r="E1147" s="366"/>
      <c r="F1147" s="367"/>
      <c r="G1147" s="367"/>
      <c r="H1147" s="366"/>
      <c r="I1147" s="366"/>
      <c r="J1147" s="368"/>
      <c r="K1147" s="368"/>
    </row>
    <row r="1148" spans="1:11" ht="15">
      <c r="A1148" s="341"/>
      <c r="B1148" s="365"/>
      <c r="C1148" s="365"/>
      <c r="D1148" s="366"/>
      <c r="E1148" s="366"/>
      <c r="F1148" s="367"/>
      <c r="G1148" s="367"/>
      <c r="H1148" s="366"/>
      <c r="I1148" s="366"/>
      <c r="J1148" s="368"/>
      <c r="K1148" s="368"/>
    </row>
    <row r="1149" spans="1:11" ht="15">
      <c r="A1149" s="341"/>
      <c r="B1149" s="365"/>
      <c r="C1149" s="365"/>
      <c r="D1149" s="366"/>
      <c r="E1149" s="366"/>
      <c r="F1149" s="367"/>
      <c r="G1149" s="367"/>
      <c r="H1149" s="366"/>
      <c r="I1149" s="366"/>
      <c r="J1149" s="368"/>
      <c r="K1149" s="368"/>
    </row>
    <row r="1150" spans="1:11" ht="15">
      <c r="A1150" s="341"/>
      <c r="B1150" s="365"/>
      <c r="C1150" s="365"/>
      <c r="D1150" s="366"/>
      <c r="E1150" s="366"/>
      <c r="F1150" s="367"/>
      <c r="G1150" s="367"/>
      <c r="H1150" s="366"/>
      <c r="I1150" s="366"/>
      <c r="J1150" s="368"/>
      <c r="K1150" s="368"/>
    </row>
    <row r="1151" spans="1:11" ht="15">
      <c r="A1151" s="341"/>
      <c r="B1151" s="365"/>
      <c r="C1151" s="365"/>
      <c r="D1151" s="366"/>
      <c r="E1151" s="366"/>
      <c r="F1151" s="367"/>
      <c r="G1151" s="367"/>
      <c r="H1151" s="366"/>
      <c r="I1151" s="366"/>
      <c r="J1151" s="368"/>
      <c r="K1151" s="368"/>
    </row>
    <row r="1152" spans="1:11" ht="15">
      <c r="A1152" s="341"/>
      <c r="B1152" s="365"/>
      <c r="C1152" s="365"/>
      <c r="D1152" s="366"/>
      <c r="E1152" s="366"/>
      <c r="F1152" s="367"/>
      <c r="G1152" s="367"/>
      <c r="H1152" s="366"/>
      <c r="I1152" s="366"/>
      <c r="J1152" s="368"/>
      <c r="K1152" s="368"/>
    </row>
    <row r="1153" spans="1:11" ht="15">
      <c r="A1153" s="341"/>
      <c r="B1153" s="365"/>
      <c r="C1153" s="365"/>
      <c r="D1153" s="366"/>
      <c r="E1153" s="366"/>
      <c r="F1153" s="367"/>
      <c r="G1153" s="367"/>
      <c r="H1153" s="366"/>
      <c r="I1153" s="366"/>
      <c r="J1153" s="368"/>
      <c r="K1153" s="368"/>
    </row>
    <row r="1154" spans="1:11" ht="15">
      <c r="A1154" s="341"/>
      <c r="B1154" s="365"/>
      <c r="C1154" s="365"/>
      <c r="D1154" s="366"/>
      <c r="E1154" s="366"/>
      <c r="F1154" s="367"/>
      <c r="G1154" s="367"/>
      <c r="H1154" s="366"/>
      <c r="I1154" s="366"/>
      <c r="J1154" s="368"/>
      <c r="K1154" s="368"/>
    </row>
    <row r="1155" spans="1:11" ht="15">
      <c r="A1155" s="341"/>
      <c r="B1155" s="365"/>
      <c r="C1155" s="365"/>
      <c r="D1155" s="366"/>
      <c r="E1155" s="366"/>
      <c r="F1155" s="367"/>
      <c r="G1155" s="367"/>
      <c r="H1155" s="366"/>
      <c r="I1155" s="366"/>
      <c r="J1155" s="368"/>
      <c r="K1155" s="368"/>
    </row>
    <row r="1156" spans="1:11" ht="15">
      <c r="A1156" s="341"/>
      <c r="B1156" s="365"/>
      <c r="C1156" s="365"/>
      <c r="D1156" s="366"/>
      <c r="E1156" s="366"/>
      <c r="F1156" s="367"/>
      <c r="G1156" s="367"/>
      <c r="H1156" s="366"/>
      <c r="I1156" s="366"/>
      <c r="J1156" s="368"/>
      <c r="K1156" s="368"/>
    </row>
    <row r="1157" spans="1:11" ht="15">
      <c r="A1157" s="341"/>
      <c r="B1157" s="365"/>
      <c r="C1157" s="365"/>
      <c r="D1157" s="366"/>
      <c r="E1157" s="366"/>
      <c r="F1157" s="367"/>
      <c r="G1157" s="367"/>
      <c r="H1157" s="366"/>
      <c r="I1157" s="366"/>
      <c r="J1157" s="368"/>
      <c r="K1157" s="368"/>
    </row>
    <row r="1158" spans="1:11" ht="15">
      <c r="A1158" s="341"/>
      <c r="B1158" s="365"/>
      <c r="C1158" s="365"/>
      <c r="D1158" s="366"/>
      <c r="E1158" s="366"/>
      <c r="F1158" s="367"/>
      <c r="G1158" s="367"/>
      <c r="H1158" s="366"/>
      <c r="I1158" s="366"/>
      <c r="J1158" s="368"/>
      <c r="K1158" s="368"/>
    </row>
    <row r="1159" spans="1:11" ht="15">
      <c r="A1159" s="341"/>
      <c r="B1159" s="365"/>
      <c r="C1159" s="365"/>
      <c r="D1159" s="366"/>
      <c r="E1159" s="366"/>
      <c r="F1159" s="367"/>
      <c r="G1159" s="367"/>
      <c r="H1159" s="366"/>
      <c r="I1159" s="366"/>
      <c r="J1159" s="368"/>
      <c r="K1159" s="368"/>
    </row>
    <row r="1160" spans="1:11" ht="15">
      <c r="A1160" s="341"/>
      <c r="B1160" s="365"/>
      <c r="C1160" s="365"/>
      <c r="D1160" s="366"/>
      <c r="E1160" s="366"/>
      <c r="F1160" s="367"/>
      <c r="G1160" s="367"/>
      <c r="H1160" s="366"/>
      <c r="I1160" s="366"/>
      <c r="J1160" s="368"/>
      <c r="K1160" s="368"/>
    </row>
    <row r="1161" spans="1:11" ht="15">
      <c r="A1161" s="341"/>
      <c r="B1161" s="365"/>
      <c r="C1161" s="365"/>
      <c r="D1161" s="366"/>
      <c r="E1161" s="366"/>
      <c r="F1161" s="367"/>
      <c r="G1161" s="367"/>
      <c r="H1161" s="366"/>
      <c r="I1161" s="366"/>
      <c r="J1161" s="368"/>
      <c r="K1161" s="368"/>
    </row>
    <row r="1162" spans="1:11" ht="15">
      <c r="A1162" s="341"/>
      <c r="B1162" s="365"/>
      <c r="C1162" s="365"/>
      <c r="D1162" s="366"/>
      <c r="E1162" s="366"/>
      <c r="F1162" s="367"/>
      <c r="G1162" s="367"/>
      <c r="H1162" s="366"/>
      <c r="I1162" s="366"/>
      <c r="J1162" s="368"/>
      <c r="K1162" s="368"/>
    </row>
    <row r="1163" spans="1:11" ht="15">
      <c r="A1163" s="341"/>
      <c r="B1163" s="365"/>
      <c r="C1163" s="365"/>
      <c r="D1163" s="366"/>
      <c r="E1163" s="366"/>
      <c r="F1163" s="367"/>
      <c r="G1163" s="367"/>
      <c r="H1163" s="366"/>
      <c r="I1163" s="366"/>
      <c r="J1163" s="368"/>
      <c r="K1163" s="368"/>
    </row>
    <row r="1164" spans="1:11" ht="15">
      <c r="A1164" s="341"/>
      <c r="B1164" s="365"/>
      <c r="C1164" s="365"/>
      <c r="D1164" s="366"/>
      <c r="E1164" s="366"/>
      <c r="F1164" s="367"/>
      <c r="G1164" s="367"/>
      <c r="H1164" s="366"/>
      <c r="I1164" s="366"/>
      <c r="J1164" s="368"/>
      <c r="K1164" s="368"/>
    </row>
    <row r="1165" spans="1:11" ht="15">
      <c r="A1165" s="341"/>
      <c r="B1165" s="365"/>
      <c r="C1165" s="365"/>
      <c r="D1165" s="366"/>
      <c r="E1165" s="366"/>
      <c r="F1165" s="367"/>
      <c r="G1165" s="367"/>
      <c r="H1165" s="366"/>
      <c r="I1165" s="366"/>
      <c r="J1165" s="368"/>
      <c r="K1165" s="368"/>
    </row>
    <row r="1166" spans="1:11" ht="15">
      <c r="A1166" s="341"/>
      <c r="B1166" s="365"/>
      <c r="C1166" s="365"/>
      <c r="D1166" s="366"/>
      <c r="E1166" s="366"/>
      <c r="F1166" s="367"/>
      <c r="G1166" s="367"/>
      <c r="H1166" s="366"/>
      <c r="I1166" s="366"/>
      <c r="J1166" s="368"/>
      <c r="K1166" s="368"/>
    </row>
    <row r="1167" spans="1:11" ht="15">
      <c r="A1167" s="341"/>
      <c r="B1167" s="365"/>
      <c r="C1167" s="365"/>
      <c r="D1167" s="366"/>
      <c r="E1167" s="366"/>
      <c r="F1167" s="367"/>
      <c r="G1167" s="367"/>
      <c r="H1167" s="366"/>
      <c r="I1167" s="366"/>
      <c r="J1167" s="368"/>
      <c r="K1167" s="368"/>
    </row>
    <row r="1168" spans="1:11" ht="15">
      <c r="A1168" s="341"/>
      <c r="B1168" s="365"/>
      <c r="C1168" s="365"/>
      <c r="D1168" s="366"/>
      <c r="E1168" s="366"/>
      <c r="F1168" s="367"/>
      <c r="G1168" s="367"/>
      <c r="H1168" s="366"/>
      <c r="I1168" s="366"/>
      <c r="J1168" s="368"/>
      <c r="K1168" s="368"/>
    </row>
    <row r="1169" spans="1:11" ht="15">
      <c r="A1169" s="341"/>
      <c r="B1169" s="365"/>
      <c r="C1169" s="365"/>
      <c r="D1169" s="366"/>
      <c r="E1169" s="366"/>
      <c r="F1169" s="367"/>
      <c r="G1169" s="367"/>
      <c r="H1169" s="366"/>
      <c r="I1169" s="366"/>
      <c r="J1169" s="368"/>
      <c r="K1169" s="368"/>
    </row>
    <row r="1170" spans="1:11" ht="15">
      <c r="A1170" s="341"/>
      <c r="B1170" s="365"/>
      <c r="C1170" s="365"/>
      <c r="D1170" s="366"/>
      <c r="E1170" s="366"/>
      <c r="F1170" s="367"/>
      <c r="G1170" s="367"/>
      <c r="H1170" s="366"/>
      <c r="I1170" s="366"/>
      <c r="J1170" s="368"/>
      <c r="K1170" s="368"/>
    </row>
    <row r="1171" spans="1:11" ht="15">
      <c r="A1171" s="341"/>
      <c r="B1171" s="365"/>
      <c r="C1171" s="365"/>
      <c r="D1171" s="366"/>
      <c r="E1171" s="366"/>
      <c r="F1171" s="367"/>
      <c r="G1171" s="367"/>
      <c r="H1171" s="366"/>
      <c r="I1171" s="366"/>
      <c r="J1171" s="368"/>
      <c r="K1171" s="368"/>
    </row>
    <row r="1172" spans="1:11" ht="15">
      <c r="A1172" s="341"/>
      <c r="B1172" s="365"/>
      <c r="C1172" s="365"/>
      <c r="D1172" s="366"/>
      <c r="E1172" s="366"/>
      <c r="F1172" s="367"/>
      <c r="G1172" s="367"/>
      <c r="H1172" s="366"/>
      <c r="I1172" s="366"/>
      <c r="J1172" s="368"/>
      <c r="K1172" s="368"/>
    </row>
    <row r="1173" spans="1:11" ht="15">
      <c r="A1173" s="341"/>
      <c r="B1173" s="365"/>
      <c r="C1173" s="365"/>
      <c r="D1173" s="366"/>
      <c r="E1173" s="366"/>
      <c r="F1173" s="367"/>
      <c r="G1173" s="367"/>
      <c r="H1173" s="366"/>
      <c r="I1173" s="366"/>
      <c r="J1173" s="368"/>
      <c r="K1173" s="368"/>
    </row>
    <row r="1174" spans="1:11" ht="15">
      <c r="A1174" s="341"/>
      <c r="B1174" s="365"/>
      <c r="C1174" s="365"/>
      <c r="D1174" s="366"/>
      <c r="E1174" s="366"/>
      <c r="F1174" s="367"/>
      <c r="G1174" s="367"/>
      <c r="H1174" s="366"/>
      <c r="I1174" s="366"/>
      <c r="J1174" s="368"/>
      <c r="K1174" s="368"/>
    </row>
    <row r="1175" spans="1:11" ht="15">
      <c r="A1175" s="341"/>
      <c r="B1175" s="365"/>
      <c r="C1175" s="365"/>
      <c r="D1175" s="366"/>
      <c r="E1175" s="366"/>
      <c r="F1175" s="367"/>
      <c r="G1175" s="367"/>
      <c r="H1175" s="366"/>
      <c r="I1175" s="366"/>
      <c r="J1175" s="368"/>
      <c r="K1175" s="368"/>
    </row>
    <row r="1176" spans="1:11" ht="15">
      <c r="A1176" s="341"/>
      <c r="B1176" s="365"/>
      <c r="C1176" s="365"/>
      <c r="D1176" s="366"/>
      <c r="E1176" s="366"/>
      <c r="F1176" s="367"/>
      <c r="G1176" s="367"/>
      <c r="H1176" s="366"/>
      <c r="I1176" s="366"/>
      <c r="J1176" s="368"/>
      <c r="K1176" s="368"/>
    </row>
    <row r="1177" spans="1:11" ht="15">
      <c r="A1177" s="341"/>
      <c r="B1177" s="365"/>
      <c r="C1177" s="365"/>
      <c r="D1177" s="366"/>
      <c r="E1177" s="366"/>
      <c r="F1177" s="367"/>
      <c r="G1177" s="367"/>
      <c r="H1177" s="366"/>
      <c r="I1177" s="366"/>
      <c r="J1177" s="368"/>
      <c r="K1177" s="368"/>
    </row>
    <row r="1178" spans="1:11" ht="15">
      <c r="A1178" s="341"/>
      <c r="B1178" s="365"/>
      <c r="C1178" s="365"/>
      <c r="D1178" s="366"/>
      <c r="E1178" s="366"/>
      <c r="F1178" s="367"/>
      <c r="G1178" s="367"/>
      <c r="H1178" s="366"/>
      <c r="I1178" s="366"/>
      <c r="J1178" s="368"/>
      <c r="K1178" s="368"/>
    </row>
    <row r="1179" spans="1:11" ht="15">
      <c r="A1179" s="341"/>
      <c r="B1179" s="365"/>
      <c r="C1179" s="365"/>
      <c r="D1179" s="366"/>
      <c r="E1179" s="366"/>
      <c r="F1179" s="367"/>
      <c r="G1179" s="367"/>
      <c r="H1179" s="366"/>
      <c r="I1179" s="366"/>
      <c r="J1179" s="368"/>
      <c r="K1179" s="368"/>
    </row>
    <row r="1180" spans="1:11" ht="15">
      <c r="A1180" s="341"/>
      <c r="B1180" s="365"/>
      <c r="C1180" s="365"/>
      <c r="D1180" s="366"/>
      <c r="E1180" s="366"/>
      <c r="F1180" s="367"/>
      <c r="G1180" s="367"/>
      <c r="H1180" s="366"/>
      <c r="I1180" s="366"/>
      <c r="J1180" s="368"/>
      <c r="K1180" s="368"/>
    </row>
    <row r="1181" spans="1:11" ht="15">
      <c r="A1181" s="341"/>
      <c r="B1181" s="365"/>
      <c r="C1181" s="365"/>
      <c r="D1181" s="366"/>
      <c r="E1181" s="366"/>
      <c r="F1181" s="367"/>
      <c r="G1181" s="367"/>
      <c r="H1181" s="366"/>
      <c r="I1181" s="366"/>
      <c r="J1181" s="368"/>
      <c r="K1181" s="368"/>
    </row>
    <row r="1182" spans="1:11" ht="15">
      <c r="A1182" s="341"/>
      <c r="B1182" s="365"/>
      <c r="C1182" s="365"/>
      <c r="D1182" s="366"/>
      <c r="E1182" s="366"/>
      <c r="F1182" s="367"/>
      <c r="G1182" s="367"/>
      <c r="H1182" s="366"/>
      <c r="I1182" s="366"/>
      <c r="J1182" s="368"/>
      <c r="K1182" s="368"/>
    </row>
    <row r="1183" spans="1:11" ht="15">
      <c r="A1183" s="341"/>
      <c r="B1183" s="365"/>
      <c r="C1183" s="365"/>
      <c r="D1183" s="366"/>
      <c r="E1183" s="366"/>
      <c r="F1183" s="367"/>
      <c r="G1183" s="367"/>
      <c r="H1183" s="366"/>
      <c r="I1183" s="366"/>
      <c r="J1183" s="368"/>
      <c r="K1183" s="368"/>
    </row>
    <row r="1184" spans="1:11" ht="15">
      <c r="A1184" s="341"/>
      <c r="B1184" s="365"/>
      <c r="C1184" s="365"/>
      <c r="D1184" s="366"/>
      <c r="E1184" s="366"/>
      <c r="F1184" s="367"/>
      <c r="G1184" s="367"/>
      <c r="H1184" s="366"/>
      <c r="I1184" s="366"/>
      <c r="J1184" s="368"/>
      <c r="K1184" s="368"/>
    </row>
    <row r="1185" spans="1:11" ht="15">
      <c r="A1185" s="341"/>
      <c r="B1185" s="365"/>
      <c r="C1185" s="365"/>
      <c r="D1185" s="366"/>
      <c r="E1185" s="366"/>
      <c r="F1185" s="367"/>
      <c r="G1185" s="367"/>
      <c r="H1185" s="366"/>
      <c r="I1185" s="366"/>
      <c r="J1185" s="368"/>
      <c r="K1185" s="368"/>
    </row>
    <row r="1186" spans="1:11" ht="15">
      <c r="A1186" s="341"/>
      <c r="B1186" s="365"/>
      <c r="C1186" s="365"/>
      <c r="D1186" s="366"/>
      <c r="E1186" s="366"/>
      <c r="F1186" s="367"/>
      <c r="G1186" s="367"/>
      <c r="H1186" s="366"/>
      <c r="I1186" s="366"/>
      <c r="J1186" s="368"/>
      <c r="K1186" s="368"/>
    </row>
    <row r="1187" spans="1:11" ht="15">
      <c r="A1187" s="341"/>
      <c r="B1187" s="365"/>
      <c r="C1187" s="365"/>
      <c r="D1187" s="366"/>
      <c r="E1187" s="366"/>
      <c r="F1187" s="367"/>
      <c r="G1187" s="367"/>
      <c r="H1187" s="366"/>
      <c r="I1187" s="366"/>
      <c r="J1187" s="368"/>
      <c r="K1187" s="368"/>
    </row>
    <row r="1188" spans="1:11" ht="15">
      <c r="A1188" s="341"/>
      <c r="B1188" s="365"/>
      <c r="C1188" s="365"/>
      <c r="D1188" s="366"/>
      <c r="E1188" s="366"/>
      <c r="F1188" s="367"/>
      <c r="G1188" s="367"/>
      <c r="H1188" s="366"/>
      <c r="I1188" s="366"/>
      <c r="J1188" s="368"/>
      <c r="K1188" s="368"/>
    </row>
    <row r="1189" spans="1:11" ht="15">
      <c r="A1189" s="341"/>
      <c r="B1189" s="365"/>
      <c r="C1189" s="365"/>
      <c r="D1189" s="366"/>
      <c r="E1189" s="366"/>
      <c r="F1189" s="367"/>
      <c r="G1189" s="367"/>
      <c r="H1189" s="366"/>
      <c r="I1189" s="366"/>
      <c r="J1189" s="368"/>
      <c r="K1189" s="368"/>
    </row>
    <row r="1190" spans="1:11" ht="15">
      <c r="A1190" s="341"/>
      <c r="B1190" s="365"/>
      <c r="C1190" s="365"/>
      <c r="D1190" s="366"/>
      <c r="E1190" s="366"/>
      <c r="F1190" s="367"/>
      <c r="G1190" s="367"/>
      <c r="H1190" s="366"/>
      <c r="I1190" s="366"/>
      <c r="J1190" s="368"/>
      <c r="K1190" s="368"/>
    </row>
    <row r="1191" spans="1:11" ht="15">
      <c r="A1191" s="341"/>
      <c r="B1191" s="365"/>
      <c r="C1191" s="365"/>
      <c r="D1191" s="366"/>
      <c r="E1191" s="366"/>
      <c r="F1191" s="367"/>
      <c r="G1191" s="367"/>
      <c r="H1191" s="366"/>
      <c r="I1191" s="366"/>
      <c r="J1191" s="368"/>
      <c r="K1191" s="368"/>
    </row>
    <row r="1192" spans="1:11" ht="15">
      <c r="A1192" s="341"/>
      <c r="B1192" s="365"/>
      <c r="C1192" s="365"/>
      <c r="D1192" s="366"/>
      <c r="E1192" s="366"/>
      <c r="F1192" s="367"/>
      <c r="G1192" s="367"/>
      <c r="H1192" s="366"/>
      <c r="I1192" s="366"/>
      <c r="J1192" s="368"/>
      <c r="K1192" s="368"/>
    </row>
    <row r="1193" spans="1:11" ht="15">
      <c r="A1193" s="341"/>
      <c r="B1193" s="365"/>
      <c r="C1193" s="365"/>
      <c r="D1193" s="366"/>
      <c r="E1193" s="366"/>
      <c r="F1193" s="367"/>
      <c r="G1193" s="367"/>
      <c r="H1193" s="366"/>
      <c r="I1193" s="366"/>
      <c r="J1193" s="368"/>
      <c r="K1193" s="368"/>
    </row>
    <row r="1194" spans="1:11" ht="15">
      <c r="A1194" s="341"/>
      <c r="B1194" s="365"/>
      <c r="C1194" s="365"/>
      <c r="D1194" s="366"/>
      <c r="E1194" s="366"/>
      <c r="F1194" s="367"/>
      <c r="G1194" s="367"/>
      <c r="H1194" s="366"/>
      <c r="I1194" s="366"/>
      <c r="J1194" s="368"/>
      <c r="K1194" s="368"/>
    </row>
    <row r="1195" spans="1:11" ht="15">
      <c r="A1195" s="341"/>
      <c r="B1195" s="365"/>
      <c r="C1195" s="365"/>
      <c r="D1195" s="366"/>
      <c r="E1195" s="366"/>
      <c r="F1195" s="367"/>
      <c r="G1195" s="367"/>
      <c r="H1195" s="366"/>
      <c r="I1195" s="366"/>
      <c r="J1195" s="368"/>
      <c r="K1195" s="368"/>
    </row>
    <row r="1196" spans="1:11" ht="15">
      <c r="A1196" s="341"/>
      <c r="B1196" s="365"/>
      <c r="C1196" s="365"/>
      <c r="D1196" s="366"/>
      <c r="E1196" s="366"/>
      <c r="F1196" s="367"/>
      <c r="G1196" s="367"/>
      <c r="H1196" s="366"/>
      <c r="I1196" s="366"/>
      <c r="J1196" s="368"/>
      <c r="K1196" s="368"/>
    </row>
    <row r="1197" spans="1:11" ht="15">
      <c r="A1197" s="341"/>
      <c r="B1197" s="365"/>
      <c r="C1197" s="365"/>
      <c r="D1197" s="366"/>
      <c r="E1197" s="366"/>
      <c r="F1197" s="367"/>
      <c r="G1197" s="367"/>
      <c r="H1197" s="366"/>
      <c r="I1197" s="366"/>
      <c r="J1197" s="368"/>
      <c r="K1197" s="368"/>
    </row>
    <row r="1198" spans="1:11" ht="15">
      <c r="A1198" s="341"/>
      <c r="B1198" s="365"/>
      <c r="C1198" s="365"/>
      <c r="D1198" s="366"/>
      <c r="E1198" s="366"/>
      <c r="F1198" s="367"/>
      <c r="G1198" s="367"/>
      <c r="H1198" s="366"/>
      <c r="I1198" s="366"/>
      <c r="J1198" s="368"/>
      <c r="K1198" s="368"/>
    </row>
    <row r="1199" spans="1:11" ht="15">
      <c r="A1199" s="341"/>
      <c r="B1199" s="365"/>
      <c r="C1199" s="365"/>
      <c r="D1199" s="366"/>
      <c r="E1199" s="366"/>
      <c r="F1199" s="367"/>
      <c r="G1199" s="367"/>
      <c r="H1199" s="366"/>
      <c r="I1199" s="366"/>
      <c r="J1199" s="368"/>
      <c r="K1199" s="368"/>
    </row>
    <row r="1200" spans="1:11" ht="15">
      <c r="A1200" s="341"/>
      <c r="B1200" s="365"/>
      <c r="C1200" s="365"/>
      <c r="D1200" s="366"/>
      <c r="E1200" s="366"/>
      <c r="F1200" s="367"/>
      <c r="G1200" s="367"/>
      <c r="H1200" s="366"/>
      <c r="I1200" s="366"/>
      <c r="J1200" s="368"/>
      <c r="K1200" s="368"/>
    </row>
    <row r="1201" spans="1:11" ht="15">
      <c r="A1201" s="341"/>
      <c r="B1201" s="365"/>
      <c r="C1201" s="365"/>
      <c r="D1201" s="366"/>
      <c r="E1201" s="366"/>
      <c r="F1201" s="367"/>
      <c r="G1201" s="367"/>
      <c r="H1201" s="366"/>
      <c r="I1201" s="366"/>
      <c r="J1201" s="368"/>
      <c r="K1201" s="368"/>
    </row>
    <row r="1202" spans="1:11" ht="15">
      <c r="A1202" s="341"/>
      <c r="B1202" s="365"/>
      <c r="C1202" s="365"/>
      <c r="D1202" s="366"/>
      <c r="E1202" s="366"/>
      <c r="F1202" s="367"/>
      <c r="G1202" s="367"/>
      <c r="H1202" s="366"/>
      <c r="I1202" s="366"/>
      <c r="J1202" s="368"/>
      <c r="K1202" s="368"/>
    </row>
    <row r="1203" spans="1:11" ht="15">
      <c r="A1203" s="341"/>
      <c r="B1203" s="365"/>
      <c r="C1203" s="365"/>
      <c r="D1203" s="366"/>
      <c r="E1203" s="366"/>
      <c r="F1203" s="367"/>
      <c r="G1203" s="367"/>
      <c r="H1203" s="366"/>
      <c r="I1203" s="366"/>
      <c r="J1203" s="368"/>
      <c r="K1203" s="368"/>
    </row>
    <row r="1204" spans="1:11" ht="15">
      <c r="A1204" s="341"/>
      <c r="B1204" s="365"/>
      <c r="C1204" s="365"/>
      <c r="D1204" s="366"/>
      <c r="E1204" s="366"/>
      <c r="F1204" s="367"/>
      <c r="G1204" s="367"/>
      <c r="H1204" s="366"/>
      <c r="I1204" s="366"/>
      <c r="J1204" s="368"/>
      <c r="K1204" s="368"/>
    </row>
    <row r="1205" spans="1:11" ht="15">
      <c r="A1205" s="341"/>
      <c r="B1205" s="365"/>
      <c r="C1205" s="365"/>
      <c r="D1205" s="366"/>
      <c r="E1205" s="366"/>
      <c r="F1205" s="367"/>
      <c r="G1205" s="367"/>
      <c r="H1205" s="366"/>
      <c r="I1205" s="366"/>
      <c r="J1205" s="368"/>
      <c r="K1205" s="368"/>
    </row>
    <row r="1206" spans="1:11" ht="15">
      <c r="A1206" s="341"/>
      <c r="B1206" s="365"/>
      <c r="C1206" s="365"/>
      <c r="D1206" s="366"/>
      <c r="E1206" s="366"/>
      <c r="F1206" s="367"/>
      <c r="G1206" s="367"/>
      <c r="H1206" s="366"/>
      <c r="I1206" s="366"/>
      <c r="J1206" s="368"/>
      <c r="K1206" s="368"/>
    </row>
    <row r="1207" spans="1:11" ht="15">
      <c r="A1207" s="341"/>
      <c r="B1207" s="365"/>
      <c r="C1207" s="365"/>
      <c r="D1207" s="366"/>
      <c r="E1207" s="366"/>
      <c r="F1207" s="367"/>
      <c r="G1207" s="367"/>
      <c r="H1207" s="366"/>
      <c r="I1207" s="366"/>
      <c r="J1207" s="368"/>
      <c r="K1207" s="368"/>
    </row>
    <row r="1208" spans="1:11" ht="15">
      <c r="A1208" s="341"/>
      <c r="B1208" s="365"/>
      <c r="C1208" s="365"/>
      <c r="D1208" s="366"/>
      <c r="E1208" s="366"/>
      <c r="F1208" s="367"/>
      <c r="G1208" s="367"/>
      <c r="H1208" s="366"/>
      <c r="I1208" s="366"/>
      <c r="J1208" s="368"/>
      <c r="K1208" s="368"/>
    </row>
    <row r="1209" spans="1:11" ht="15">
      <c r="A1209" s="341"/>
      <c r="B1209" s="365"/>
      <c r="C1209" s="365"/>
      <c r="D1209" s="366"/>
      <c r="E1209" s="366"/>
      <c r="F1209" s="367"/>
      <c r="G1209" s="367"/>
      <c r="H1209" s="366"/>
      <c r="I1209" s="366"/>
      <c r="J1209" s="368"/>
      <c r="K1209" s="368"/>
    </row>
    <row r="1210" spans="1:11" ht="15">
      <c r="A1210" s="341"/>
      <c r="B1210" s="365"/>
      <c r="C1210" s="365"/>
      <c r="D1210" s="366"/>
      <c r="E1210" s="366"/>
      <c r="F1210" s="367"/>
      <c r="G1210" s="367"/>
      <c r="H1210" s="366"/>
      <c r="I1210" s="366"/>
      <c r="J1210" s="368"/>
      <c r="K1210" s="368"/>
    </row>
    <row r="1211" spans="1:11" ht="15">
      <c r="A1211" s="341"/>
      <c r="B1211" s="365"/>
      <c r="C1211" s="365"/>
      <c r="D1211" s="366"/>
      <c r="E1211" s="366"/>
      <c r="F1211" s="367"/>
      <c r="G1211" s="367"/>
      <c r="H1211" s="366"/>
      <c r="I1211" s="366"/>
      <c r="J1211" s="368"/>
      <c r="K1211" s="368"/>
    </row>
    <row r="1212" spans="1:11" ht="15">
      <c r="A1212" s="341"/>
      <c r="B1212" s="365"/>
      <c r="C1212" s="365"/>
      <c r="D1212" s="366"/>
      <c r="E1212" s="366"/>
      <c r="F1212" s="367"/>
      <c r="G1212" s="367"/>
      <c r="H1212" s="366"/>
      <c r="I1212" s="366"/>
      <c r="J1212" s="368"/>
      <c r="K1212" s="368"/>
    </row>
    <row r="1213" spans="1:11" ht="15">
      <c r="A1213" s="341"/>
      <c r="B1213" s="365"/>
      <c r="C1213" s="365"/>
      <c r="D1213" s="366"/>
      <c r="E1213" s="366"/>
      <c r="F1213" s="367"/>
      <c r="G1213" s="367"/>
      <c r="H1213" s="366"/>
      <c r="I1213" s="366"/>
      <c r="J1213" s="368"/>
      <c r="K1213" s="368"/>
    </row>
    <row r="1214" spans="1:11" ht="15">
      <c r="A1214" s="341"/>
      <c r="B1214" s="365"/>
      <c r="C1214" s="365"/>
      <c r="D1214" s="366"/>
      <c r="E1214" s="366"/>
      <c r="F1214" s="367"/>
      <c r="G1214" s="367"/>
      <c r="H1214" s="366"/>
      <c r="I1214" s="366"/>
      <c r="J1214" s="368"/>
      <c r="K1214" s="368"/>
    </row>
    <row r="1215" spans="1:11" ht="15">
      <c r="A1215" s="341"/>
      <c r="B1215" s="365"/>
      <c r="C1215" s="365"/>
      <c r="D1215" s="366"/>
      <c r="E1215" s="366"/>
      <c r="F1215" s="367"/>
      <c r="G1215" s="367"/>
      <c r="H1215" s="366"/>
      <c r="I1215" s="366"/>
      <c r="J1215" s="368"/>
      <c r="K1215" s="368"/>
    </row>
    <row r="1216" spans="1:11" ht="15">
      <c r="A1216" s="341"/>
      <c r="B1216" s="365"/>
      <c r="C1216" s="365"/>
      <c r="D1216" s="366"/>
      <c r="E1216" s="366"/>
      <c r="F1216" s="367"/>
      <c r="G1216" s="367"/>
      <c r="H1216" s="366"/>
      <c r="I1216" s="366"/>
      <c r="J1216" s="368"/>
      <c r="K1216" s="368"/>
    </row>
    <row r="1217" spans="1:11" ht="15">
      <c r="A1217" s="341"/>
      <c r="B1217" s="365"/>
      <c r="C1217" s="365"/>
      <c r="D1217" s="366"/>
      <c r="E1217" s="366"/>
      <c r="F1217" s="367"/>
      <c r="G1217" s="367"/>
      <c r="H1217" s="366"/>
      <c r="I1217" s="366"/>
      <c r="J1217" s="368"/>
      <c r="K1217" s="368"/>
    </row>
    <row r="1218" spans="1:11" ht="15">
      <c r="A1218" s="341"/>
      <c r="B1218" s="365"/>
      <c r="C1218" s="365"/>
      <c r="D1218" s="366"/>
      <c r="E1218" s="366"/>
      <c r="F1218" s="367"/>
      <c r="G1218" s="367"/>
      <c r="H1218" s="366"/>
      <c r="I1218" s="366"/>
      <c r="J1218" s="368"/>
      <c r="K1218" s="368"/>
    </row>
    <row r="1219" spans="1:11" ht="15">
      <c r="A1219" s="341"/>
      <c r="B1219" s="365"/>
      <c r="C1219" s="365"/>
      <c r="D1219" s="366"/>
      <c r="E1219" s="366"/>
      <c r="F1219" s="367"/>
      <c r="G1219" s="367"/>
      <c r="H1219" s="366"/>
      <c r="I1219" s="366"/>
      <c r="J1219" s="368"/>
      <c r="K1219" s="368"/>
    </row>
    <row r="1220" spans="1:11" ht="15">
      <c r="A1220" s="341"/>
      <c r="B1220" s="365"/>
      <c r="C1220" s="365"/>
      <c r="D1220" s="366"/>
      <c r="E1220" s="366"/>
      <c r="F1220" s="367"/>
      <c r="G1220" s="367"/>
      <c r="H1220" s="366"/>
      <c r="I1220" s="366"/>
      <c r="J1220" s="368"/>
      <c r="K1220" s="368"/>
    </row>
    <row r="1221" spans="1:11" ht="15">
      <c r="A1221" s="341"/>
      <c r="B1221" s="365"/>
      <c r="C1221" s="365"/>
      <c r="D1221" s="366"/>
      <c r="E1221" s="366"/>
      <c r="F1221" s="367"/>
      <c r="G1221" s="367"/>
      <c r="H1221" s="366"/>
      <c r="I1221" s="366"/>
      <c r="J1221" s="368"/>
      <c r="K1221" s="368"/>
    </row>
    <row r="1222" spans="1:11" ht="15">
      <c r="A1222" s="341"/>
      <c r="B1222" s="365"/>
      <c r="C1222" s="365"/>
      <c r="D1222" s="366"/>
      <c r="E1222" s="366"/>
      <c r="F1222" s="367"/>
      <c r="G1222" s="367"/>
      <c r="H1222" s="366"/>
      <c r="I1222" s="366"/>
      <c r="J1222" s="368"/>
      <c r="K1222" s="368"/>
    </row>
    <row r="1223" spans="1:11" ht="15">
      <c r="A1223" s="341"/>
      <c r="B1223" s="365"/>
      <c r="C1223" s="365"/>
      <c r="D1223" s="366"/>
      <c r="E1223" s="366"/>
      <c r="F1223" s="367"/>
      <c r="G1223" s="367"/>
      <c r="H1223" s="366"/>
      <c r="I1223" s="366"/>
      <c r="J1223" s="368"/>
      <c r="K1223" s="368"/>
    </row>
    <row r="1224" spans="1:11" ht="15">
      <c r="A1224" s="341"/>
      <c r="B1224" s="365"/>
      <c r="C1224" s="365"/>
      <c r="D1224" s="366"/>
      <c r="E1224" s="366"/>
      <c r="F1224" s="367"/>
      <c r="G1224" s="367"/>
      <c r="H1224" s="366"/>
      <c r="I1224" s="366"/>
      <c r="J1224" s="368"/>
      <c r="K1224" s="368"/>
    </row>
    <row r="1225" spans="1:11" ht="15">
      <c r="A1225" s="341"/>
      <c r="B1225" s="365"/>
      <c r="C1225" s="365"/>
      <c r="D1225" s="366"/>
      <c r="E1225" s="366"/>
      <c r="F1225" s="367"/>
      <c r="G1225" s="367"/>
      <c r="H1225" s="366"/>
      <c r="I1225" s="366"/>
      <c r="J1225" s="368"/>
      <c r="K1225" s="368"/>
    </row>
    <row r="1226" spans="1:11" ht="15">
      <c r="A1226" s="341"/>
      <c r="B1226" s="365"/>
      <c r="C1226" s="365"/>
      <c r="D1226" s="366"/>
      <c r="E1226" s="366"/>
      <c r="F1226" s="367"/>
      <c r="G1226" s="367"/>
      <c r="H1226" s="366"/>
      <c r="I1226" s="366"/>
      <c r="J1226" s="368"/>
      <c r="K1226" s="368"/>
    </row>
    <row r="1227" spans="1:11" ht="15">
      <c r="A1227" s="341"/>
      <c r="B1227" s="365"/>
      <c r="C1227" s="365"/>
      <c r="D1227" s="366"/>
      <c r="E1227" s="366"/>
      <c r="F1227" s="367"/>
      <c r="G1227" s="367"/>
      <c r="H1227" s="366"/>
      <c r="I1227" s="366"/>
      <c r="J1227" s="368"/>
      <c r="K1227" s="368"/>
    </row>
    <row r="1228" spans="1:11" ht="15">
      <c r="A1228" s="341"/>
      <c r="B1228" s="365"/>
      <c r="C1228" s="365"/>
      <c r="D1228" s="366"/>
      <c r="E1228" s="366"/>
      <c r="F1228" s="367"/>
      <c r="G1228" s="367"/>
      <c r="H1228" s="366"/>
      <c r="I1228" s="366"/>
      <c r="J1228" s="368"/>
      <c r="K1228" s="368"/>
    </row>
    <row r="1229" spans="1:11" ht="15">
      <c r="A1229" s="341"/>
      <c r="B1229" s="365"/>
      <c r="C1229" s="365"/>
      <c r="D1229" s="366"/>
      <c r="E1229" s="366"/>
      <c r="F1229" s="367"/>
      <c r="G1229" s="367"/>
      <c r="H1229" s="366"/>
      <c r="I1229" s="366"/>
      <c r="J1229" s="368"/>
      <c r="K1229" s="368"/>
    </row>
    <row r="1230" spans="1:11" ht="15">
      <c r="A1230" s="341"/>
      <c r="B1230" s="365"/>
      <c r="C1230" s="365"/>
      <c r="D1230" s="366"/>
      <c r="E1230" s="366"/>
      <c r="F1230" s="367"/>
      <c r="G1230" s="367"/>
      <c r="H1230" s="366"/>
      <c r="I1230" s="366"/>
      <c r="J1230" s="368"/>
      <c r="K1230" s="368"/>
    </row>
    <row r="1231" spans="1:11" ht="15">
      <c r="A1231" s="341"/>
      <c r="B1231" s="365"/>
      <c r="C1231" s="365"/>
      <c r="D1231" s="366"/>
      <c r="E1231" s="366"/>
      <c r="F1231" s="367"/>
      <c r="G1231" s="367"/>
      <c r="H1231" s="366"/>
      <c r="I1231" s="366"/>
      <c r="J1231" s="368"/>
      <c r="K1231" s="368"/>
    </row>
    <row r="1232" spans="1:11" ht="15">
      <c r="A1232" s="341"/>
      <c r="B1232" s="365"/>
      <c r="C1232" s="365"/>
      <c r="D1232" s="366"/>
      <c r="E1232" s="366"/>
      <c r="F1232" s="367"/>
      <c r="G1232" s="367"/>
      <c r="H1232" s="366"/>
      <c r="I1232" s="366"/>
      <c r="J1232" s="368"/>
      <c r="K1232" s="368"/>
    </row>
    <row r="1233" spans="1:11" ht="15">
      <c r="A1233" s="341"/>
      <c r="B1233" s="365"/>
      <c r="C1233" s="365"/>
      <c r="D1233" s="366"/>
      <c r="E1233" s="366"/>
      <c r="F1233" s="367"/>
      <c r="G1233" s="367"/>
      <c r="H1233" s="366"/>
      <c r="I1233" s="366"/>
      <c r="J1233" s="368"/>
      <c r="K1233" s="368"/>
    </row>
    <row r="1234" spans="1:11" ht="15">
      <c r="A1234" s="341"/>
      <c r="B1234" s="365"/>
      <c r="C1234" s="365"/>
      <c r="D1234" s="366"/>
      <c r="E1234" s="366"/>
      <c r="F1234" s="367"/>
      <c r="G1234" s="367"/>
      <c r="H1234" s="366"/>
      <c r="I1234" s="366"/>
      <c r="J1234" s="368"/>
      <c r="K1234" s="368"/>
    </row>
    <row r="1235" spans="1:11" ht="15">
      <c r="A1235" s="341"/>
      <c r="B1235" s="365"/>
      <c r="C1235" s="365"/>
      <c r="D1235" s="366"/>
      <c r="E1235" s="366"/>
      <c r="F1235" s="367"/>
      <c r="G1235" s="367"/>
      <c r="H1235" s="366"/>
      <c r="I1235" s="366"/>
      <c r="J1235" s="368"/>
      <c r="K1235" s="368"/>
    </row>
    <row r="1236" spans="1:11" ht="15">
      <c r="A1236" s="341"/>
      <c r="B1236" s="365"/>
      <c r="C1236" s="365"/>
      <c r="D1236" s="366"/>
      <c r="E1236" s="366"/>
      <c r="F1236" s="367"/>
      <c r="G1236" s="367"/>
      <c r="H1236" s="366"/>
      <c r="I1236" s="366"/>
      <c r="J1236" s="368"/>
      <c r="K1236" s="368"/>
    </row>
    <row r="1237" spans="1:11" ht="15">
      <c r="A1237" s="341"/>
      <c r="B1237" s="365"/>
      <c r="C1237" s="365"/>
      <c r="D1237" s="366"/>
      <c r="E1237" s="366"/>
      <c r="F1237" s="367"/>
      <c r="G1237" s="367"/>
      <c r="H1237" s="366"/>
      <c r="I1237" s="366"/>
      <c r="J1237" s="368"/>
      <c r="K1237" s="368"/>
    </row>
    <row r="1238" spans="1:11" ht="15">
      <c r="A1238" s="341"/>
      <c r="B1238" s="365"/>
      <c r="C1238" s="365"/>
      <c r="D1238" s="366"/>
      <c r="E1238" s="366"/>
      <c r="F1238" s="367"/>
      <c r="G1238" s="367"/>
      <c r="H1238" s="366"/>
      <c r="I1238" s="366"/>
      <c r="J1238" s="368"/>
      <c r="K1238" s="368"/>
    </row>
    <row r="1239" spans="1:11" ht="15">
      <c r="A1239" s="341"/>
      <c r="B1239" s="365"/>
      <c r="C1239" s="365"/>
      <c r="D1239" s="366"/>
      <c r="E1239" s="366"/>
      <c r="F1239" s="367"/>
      <c r="G1239" s="367"/>
      <c r="H1239" s="366"/>
      <c r="I1239" s="366"/>
      <c r="J1239" s="368"/>
      <c r="K1239" s="368"/>
    </row>
    <row r="1240" spans="1:11" ht="15">
      <c r="A1240" s="341"/>
      <c r="B1240" s="365"/>
      <c r="C1240" s="365"/>
      <c r="D1240" s="366"/>
      <c r="E1240" s="366"/>
      <c r="F1240" s="367"/>
      <c r="G1240" s="367"/>
      <c r="H1240" s="366"/>
      <c r="I1240" s="366"/>
      <c r="J1240" s="368"/>
      <c r="K1240" s="368"/>
    </row>
    <row r="1241" spans="1:11" ht="15">
      <c r="A1241" s="341"/>
      <c r="B1241" s="365"/>
      <c r="C1241" s="365"/>
      <c r="D1241" s="366"/>
      <c r="E1241" s="366"/>
      <c r="F1241" s="367"/>
      <c r="G1241" s="367"/>
      <c r="H1241" s="366"/>
      <c r="I1241" s="366"/>
      <c r="J1241" s="368"/>
      <c r="K1241" s="368"/>
    </row>
    <row r="1242" spans="1:11" ht="15">
      <c r="A1242" s="341"/>
      <c r="B1242" s="365"/>
      <c r="C1242" s="365"/>
      <c r="D1242" s="366"/>
      <c r="E1242" s="366"/>
      <c r="F1242" s="367"/>
      <c r="G1242" s="367"/>
      <c r="H1242" s="366"/>
      <c r="I1242" s="366"/>
      <c r="J1242" s="368"/>
      <c r="K1242" s="368"/>
    </row>
    <row r="1243" spans="1:11" ht="15">
      <c r="A1243" s="341"/>
      <c r="B1243" s="365"/>
      <c r="C1243" s="365"/>
      <c r="D1243" s="366"/>
      <c r="E1243" s="366"/>
      <c r="F1243" s="367"/>
      <c r="G1243" s="367"/>
      <c r="H1243" s="366"/>
      <c r="I1243" s="366"/>
      <c r="J1243" s="368"/>
      <c r="K1243" s="368"/>
    </row>
    <row r="1244" spans="1:11" ht="15">
      <c r="A1244" s="341"/>
      <c r="B1244" s="365"/>
      <c r="C1244" s="365"/>
      <c r="D1244" s="366"/>
      <c r="E1244" s="366"/>
      <c r="F1244" s="367"/>
      <c r="G1244" s="367"/>
      <c r="H1244" s="366"/>
      <c r="I1244" s="366"/>
      <c r="J1244" s="368"/>
      <c r="K1244" s="368"/>
    </row>
    <row r="1245" spans="1:11" ht="15">
      <c r="A1245" s="341"/>
      <c r="B1245" s="365"/>
      <c r="C1245" s="365"/>
      <c r="D1245" s="366"/>
      <c r="E1245" s="366"/>
      <c r="F1245" s="367"/>
      <c r="G1245" s="367"/>
      <c r="H1245" s="366"/>
      <c r="I1245" s="366"/>
      <c r="J1245" s="368"/>
      <c r="K1245" s="368"/>
    </row>
    <row r="1246" spans="1:11" ht="15">
      <c r="A1246" s="341"/>
      <c r="B1246" s="365"/>
      <c r="C1246" s="365"/>
      <c r="D1246" s="366"/>
      <c r="E1246" s="366"/>
      <c r="F1246" s="367"/>
      <c r="G1246" s="367"/>
      <c r="H1246" s="366"/>
      <c r="I1246" s="366"/>
      <c r="J1246" s="368"/>
      <c r="K1246" s="368"/>
    </row>
    <row r="1247" spans="1:11" ht="15">
      <c r="A1247" s="341"/>
      <c r="B1247" s="365"/>
      <c r="C1247" s="365"/>
      <c r="D1247" s="366"/>
      <c r="E1247" s="366"/>
      <c r="F1247" s="367"/>
      <c r="G1247" s="367"/>
      <c r="H1247" s="366"/>
      <c r="I1247" s="366"/>
      <c r="J1247" s="368"/>
      <c r="K1247" s="368"/>
    </row>
    <row r="1248" spans="1:11" ht="15">
      <c r="A1248" s="341"/>
      <c r="B1248" s="365"/>
      <c r="C1248" s="365"/>
      <c r="D1248" s="366"/>
      <c r="E1248" s="366"/>
      <c r="F1248" s="367"/>
      <c r="G1248" s="367"/>
      <c r="H1248" s="366"/>
      <c r="I1248" s="366"/>
      <c r="J1248" s="368"/>
      <c r="K1248" s="368"/>
    </row>
    <row r="1249" spans="1:11" ht="15">
      <c r="A1249" s="341"/>
      <c r="B1249" s="365"/>
      <c r="C1249" s="365"/>
      <c r="D1249" s="366"/>
      <c r="E1249" s="366"/>
      <c r="F1249" s="367"/>
      <c r="G1249" s="367"/>
      <c r="H1249" s="366"/>
      <c r="I1249" s="366"/>
      <c r="J1249" s="368"/>
      <c r="K1249" s="368"/>
    </row>
    <row r="1250" spans="1:11" ht="15">
      <c r="A1250" s="341"/>
      <c r="B1250" s="365"/>
      <c r="C1250" s="365"/>
      <c r="D1250" s="366"/>
      <c r="E1250" s="366"/>
      <c r="F1250" s="367"/>
      <c r="G1250" s="367"/>
      <c r="H1250" s="366"/>
      <c r="I1250" s="366"/>
      <c r="J1250" s="368"/>
      <c r="K1250" s="368"/>
    </row>
    <row r="1251" spans="1:11" ht="15">
      <c r="A1251" s="341"/>
      <c r="B1251" s="365"/>
      <c r="C1251" s="365"/>
      <c r="D1251" s="366"/>
      <c r="E1251" s="366"/>
      <c r="F1251" s="367"/>
      <c r="G1251" s="367"/>
      <c r="H1251" s="366"/>
      <c r="I1251" s="366"/>
      <c r="J1251" s="368"/>
      <c r="K1251" s="368"/>
    </row>
    <row r="1252" spans="1:11" ht="15">
      <c r="A1252" s="341"/>
      <c r="B1252" s="365"/>
      <c r="C1252" s="365"/>
      <c r="D1252" s="366"/>
      <c r="E1252" s="366"/>
      <c r="F1252" s="367"/>
      <c r="G1252" s="367"/>
      <c r="H1252" s="366"/>
      <c r="I1252" s="366"/>
      <c r="J1252" s="368"/>
      <c r="K1252" s="368"/>
    </row>
    <row r="1253" spans="1:11" ht="15">
      <c r="A1253" s="341"/>
      <c r="B1253" s="365"/>
      <c r="C1253" s="365"/>
      <c r="D1253" s="366"/>
      <c r="E1253" s="366"/>
      <c r="F1253" s="367"/>
      <c r="G1253" s="367"/>
      <c r="H1253" s="366"/>
      <c r="I1253" s="366"/>
      <c r="J1253" s="368"/>
      <c r="K1253" s="368"/>
    </row>
    <row r="1254" spans="1:11" ht="15">
      <c r="A1254" s="341"/>
      <c r="B1254" s="365"/>
      <c r="C1254" s="365"/>
      <c r="D1254" s="366"/>
      <c r="E1254" s="366"/>
      <c r="F1254" s="367"/>
      <c r="G1254" s="367"/>
      <c r="H1254" s="366"/>
      <c r="I1254" s="366"/>
      <c r="J1254" s="368"/>
      <c r="K1254" s="368"/>
    </row>
    <row r="1255" spans="1:11" ht="15">
      <c r="A1255" s="341"/>
      <c r="B1255" s="365"/>
      <c r="C1255" s="365"/>
      <c r="D1255" s="366"/>
      <c r="E1255" s="366"/>
      <c r="F1255" s="367"/>
      <c r="G1255" s="367"/>
      <c r="H1255" s="366"/>
      <c r="I1255" s="366"/>
      <c r="J1255" s="368"/>
      <c r="K1255" s="368"/>
    </row>
    <row r="1256" spans="1:11" ht="15">
      <c r="A1256" s="341"/>
      <c r="B1256" s="365"/>
      <c r="C1256" s="365"/>
      <c r="D1256" s="366"/>
      <c r="E1256" s="366"/>
      <c r="F1256" s="367"/>
      <c r="G1256" s="367"/>
      <c r="H1256" s="366"/>
      <c r="I1256" s="366"/>
      <c r="J1256" s="368"/>
      <c r="K1256" s="368"/>
    </row>
    <row r="1257" spans="1:11" ht="15">
      <c r="A1257" s="341"/>
      <c r="B1257" s="365"/>
      <c r="C1257" s="365"/>
      <c r="D1257" s="366"/>
      <c r="E1257" s="366"/>
      <c r="F1257" s="367"/>
      <c r="G1257" s="367"/>
      <c r="H1257" s="366"/>
      <c r="I1257" s="366"/>
      <c r="J1257" s="368"/>
      <c r="K1257" s="368"/>
    </row>
    <row r="1258" spans="1:11" ht="15">
      <c r="A1258" s="341"/>
      <c r="B1258" s="365"/>
      <c r="C1258" s="365"/>
      <c r="D1258" s="366"/>
      <c r="E1258" s="366"/>
      <c r="F1258" s="367"/>
      <c r="G1258" s="367"/>
      <c r="H1258" s="366"/>
      <c r="I1258" s="366"/>
      <c r="J1258" s="368"/>
      <c r="K1258" s="368"/>
    </row>
    <row r="1259" spans="1:11" ht="15">
      <c r="A1259" s="341"/>
      <c r="B1259" s="365"/>
      <c r="C1259" s="365"/>
      <c r="D1259" s="366"/>
      <c r="E1259" s="366"/>
      <c r="F1259" s="367"/>
      <c r="G1259" s="367"/>
      <c r="H1259" s="366"/>
      <c r="I1259" s="366"/>
      <c r="J1259" s="368"/>
      <c r="K1259" s="368"/>
    </row>
    <row r="1260" spans="1:11" ht="15">
      <c r="A1260" s="341"/>
      <c r="B1260" s="365"/>
      <c r="C1260" s="365"/>
      <c r="D1260" s="366"/>
      <c r="E1260" s="366"/>
      <c r="F1260" s="367"/>
      <c r="G1260" s="367"/>
      <c r="H1260" s="366"/>
      <c r="I1260" s="366"/>
      <c r="J1260" s="368"/>
      <c r="K1260" s="368"/>
    </row>
    <row r="1261" spans="1:11" ht="15">
      <c r="A1261" s="341"/>
      <c r="B1261" s="365"/>
      <c r="C1261" s="365"/>
      <c r="D1261" s="366"/>
      <c r="E1261" s="366"/>
      <c r="F1261" s="367"/>
      <c r="G1261" s="367"/>
      <c r="H1261" s="366"/>
      <c r="I1261" s="366"/>
      <c r="J1261" s="368"/>
      <c r="K1261" s="368"/>
    </row>
    <row r="1262" spans="1:11" ht="15">
      <c r="A1262" s="341"/>
      <c r="B1262" s="365"/>
      <c r="C1262" s="365"/>
      <c r="D1262" s="366"/>
      <c r="E1262" s="366"/>
      <c r="F1262" s="367"/>
      <c r="G1262" s="367"/>
      <c r="H1262" s="366"/>
      <c r="I1262" s="366"/>
      <c r="J1262" s="368"/>
      <c r="K1262" s="368"/>
    </row>
    <row r="1263" spans="1:11" ht="15">
      <c r="A1263" s="341"/>
      <c r="B1263" s="365"/>
      <c r="C1263" s="365"/>
      <c r="D1263" s="366"/>
      <c r="E1263" s="366"/>
      <c r="F1263" s="367"/>
      <c r="G1263" s="367"/>
      <c r="H1263" s="366"/>
      <c r="I1263" s="366"/>
      <c r="J1263" s="368"/>
      <c r="K1263" s="368"/>
    </row>
    <row r="1264" spans="1:11" ht="15">
      <c r="A1264" s="341"/>
      <c r="B1264" s="365"/>
      <c r="C1264" s="365"/>
      <c r="D1264" s="366"/>
      <c r="E1264" s="366"/>
      <c r="F1264" s="367"/>
      <c r="G1264" s="367"/>
      <c r="H1264" s="366"/>
      <c r="I1264" s="366"/>
      <c r="J1264" s="368"/>
      <c r="K1264" s="368"/>
    </row>
    <row r="1265" spans="1:11" ht="15">
      <c r="A1265" s="341"/>
      <c r="B1265" s="365"/>
      <c r="C1265" s="365"/>
      <c r="D1265" s="366"/>
      <c r="E1265" s="366"/>
      <c r="F1265" s="367"/>
      <c r="G1265" s="367"/>
      <c r="H1265" s="366"/>
      <c r="I1265" s="366"/>
      <c r="J1265" s="368"/>
      <c r="K1265" s="368"/>
    </row>
    <row r="1266" spans="1:11" ht="15">
      <c r="A1266" s="341"/>
      <c r="B1266" s="365"/>
      <c r="C1266" s="365"/>
      <c r="D1266" s="366"/>
      <c r="E1266" s="366"/>
      <c r="F1266" s="367"/>
      <c r="G1266" s="367"/>
      <c r="H1266" s="366"/>
      <c r="I1266" s="366"/>
      <c r="J1266" s="368"/>
      <c r="K1266" s="368"/>
    </row>
    <row r="1267" spans="1:11" ht="15">
      <c r="A1267" s="341"/>
      <c r="B1267" s="365"/>
      <c r="C1267" s="365"/>
      <c r="D1267" s="366"/>
      <c r="E1267" s="366"/>
      <c r="F1267" s="367"/>
      <c r="G1267" s="367"/>
      <c r="H1267" s="366"/>
      <c r="I1267" s="366"/>
      <c r="J1267" s="368"/>
      <c r="K1267" s="368"/>
    </row>
    <row r="1268" spans="1:11" ht="15">
      <c r="A1268" s="341"/>
      <c r="B1268" s="365"/>
      <c r="C1268" s="365"/>
      <c r="D1268" s="366"/>
      <c r="E1268" s="366"/>
      <c r="F1268" s="367"/>
      <c r="G1268" s="367"/>
      <c r="H1268" s="366"/>
      <c r="I1268" s="366"/>
      <c r="J1268" s="368"/>
      <c r="K1268" s="368"/>
    </row>
    <row r="1269" spans="1:11" ht="15">
      <c r="A1269" s="341"/>
      <c r="B1269" s="365"/>
      <c r="C1269" s="365"/>
      <c r="D1269" s="366"/>
      <c r="E1269" s="366"/>
      <c r="F1269" s="367"/>
      <c r="G1269" s="367"/>
      <c r="H1269" s="366"/>
      <c r="I1269" s="366"/>
      <c r="J1269" s="368"/>
      <c r="K1269" s="368"/>
    </row>
    <row r="1270" spans="1:11" ht="15">
      <c r="A1270" s="341"/>
      <c r="B1270" s="365"/>
      <c r="C1270" s="365"/>
      <c r="D1270" s="366"/>
      <c r="E1270" s="366"/>
      <c r="F1270" s="367"/>
      <c r="G1270" s="367"/>
      <c r="H1270" s="366"/>
      <c r="I1270" s="366"/>
      <c r="J1270" s="368"/>
      <c r="K1270" s="368"/>
    </row>
    <row r="1271" spans="1:11" ht="15">
      <c r="A1271" s="341"/>
      <c r="B1271" s="365"/>
      <c r="C1271" s="365"/>
      <c r="D1271" s="366"/>
      <c r="E1271" s="366"/>
      <c r="F1271" s="367"/>
      <c r="G1271" s="367"/>
      <c r="H1271" s="366"/>
      <c r="I1271" s="366"/>
      <c r="J1271" s="368"/>
      <c r="K1271" s="368"/>
    </row>
    <row r="1272" spans="1:11" ht="15">
      <c r="A1272" s="341"/>
      <c r="B1272" s="365"/>
      <c r="C1272" s="365"/>
      <c r="D1272" s="366"/>
      <c r="E1272" s="366"/>
      <c r="F1272" s="367"/>
      <c r="G1272" s="367"/>
      <c r="H1272" s="366"/>
      <c r="I1272" s="366"/>
      <c r="J1272" s="368"/>
      <c r="K1272" s="368"/>
    </row>
    <row r="1273" spans="1:11" ht="15">
      <c r="A1273" s="341"/>
      <c r="B1273" s="365"/>
      <c r="C1273" s="365"/>
      <c r="D1273" s="366"/>
      <c r="E1273" s="366"/>
      <c r="F1273" s="367"/>
      <c r="G1273" s="367"/>
      <c r="H1273" s="366"/>
      <c r="I1273" s="366"/>
      <c r="J1273" s="368"/>
      <c r="K1273" s="368"/>
    </row>
    <row r="1274" spans="1:11" ht="15">
      <c r="A1274" s="341"/>
      <c r="B1274" s="365"/>
      <c r="C1274" s="365"/>
      <c r="D1274" s="366"/>
      <c r="E1274" s="366"/>
      <c r="F1274" s="367"/>
      <c r="G1274" s="367"/>
      <c r="H1274" s="366"/>
      <c r="I1274" s="366"/>
      <c r="J1274" s="368"/>
      <c r="K1274" s="368"/>
    </row>
  </sheetData>
  <mergeCells count="28">
    <mergeCell ref="A406:K406"/>
    <mergeCell ref="A418:K418"/>
    <mergeCell ref="B12:K12"/>
    <mergeCell ref="A13:K13"/>
    <mergeCell ref="A22:K22"/>
    <mergeCell ref="B86:J86"/>
    <mergeCell ref="B139:K139"/>
    <mergeCell ref="A195:K195"/>
    <mergeCell ref="A203:K203"/>
    <mergeCell ref="B214:K214"/>
    <mergeCell ref="A218:K218"/>
    <mergeCell ref="A255:K255"/>
    <mergeCell ref="A297:K297"/>
    <mergeCell ref="A340:K340"/>
    <mergeCell ref="A6:K6"/>
    <mergeCell ref="A7:K7"/>
    <mergeCell ref="B8:K8"/>
    <mergeCell ref="B9:K9"/>
    <mergeCell ref="A10:C11"/>
    <mergeCell ref="D10:F11"/>
    <mergeCell ref="G10:H11"/>
    <mergeCell ref="I10:I11"/>
    <mergeCell ref="J10:J11"/>
    <mergeCell ref="A1:K1"/>
    <mergeCell ref="A2:K2"/>
    <mergeCell ref="A3:K3"/>
    <mergeCell ref="A4:K4"/>
    <mergeCell ref="A5:K5"/>
  </mergeCells>
  <hyperlinks>
    <hyperlink ref="A7" r:id="rId1" xr:uid="{00000000-0004-0000-0000-000000000000}"/>
    <hyperlink ref="B9" r:id="rId2" xr:uid="{00000000-0004-0000-0000-000001000000}"/>
    <hyperlink ref="A13" r:id="rId3" xr:uid="{00000000-0004-0000-0000-000002000000}"/>
    <hyperlink ref="B21" r:id="rId4" xr:uid="{00000000-0004-0000-0000-000003000000}"/>
    <hyperlink ref="A22" r:id="rId5" xr:uid="{00000000-0004-0000-0000-000004000000}"/>
    <hyperlink ref="B29" r:id="rId6" xr:uid="{00000000-0004-0000-0000-000005000000}"/>
    <hyperlink ref="B30" r:id="rId7" xr:uid="{00000000-0004-0000-0000-000006000000}"/>
    <hyperlink ref="B31" r:id="rId8" xr:uid="{00000000-0004-0000-0000-000007000000}"/>
    <hyperlink ref="B32" r:id="rId9" xr:uid="{00000000-0004-0000-0000-000008000000}"/>
    <hyperlink ref="B33" r:id="rId10" xr:uid="{00000000-0004-0000-0000-000009000000}"/>
    <hyperlink ref="B34" r:id="rId11" xr:uid="{00000000-0004-0000-0000-00000A000000}"/>
    <hyperlink ref="B35" r:id="rId12" xr:uid="{00000000-0004-0000-0000-00000B000000}"/>
    <hyperlink ref="B36" r:id="rId13" xr:uid="{00000000-0004-0000-0000-00000C000000}"/>
    <hyperlink ref="B39" r:id="rId14" xr:uid="{00000000-0004-0000-0000-00000D000000}"/>
    <hyperlink ref="B40" r:id="rId15" xr:uid="{00000000-0004-0000-0000-00000E000000}"/>
    <hyperlink ref="B41" r:id="rId16" xr:uid="{00000000-0004-0000-0000-00000F000000}"/>
    <hyperlink ref="B42" r:id="rId17" xr:uid="{00000000-0004-0000-0000-000010000000}"/>
    <hyperlink ref="B43" r:id="rId18" xr:uid="{00000000-0004-0000-0000-000011000000}"/>
    <hyperlink ref="B44" r:id="rId19" xr:uid="{00000000-0004-0000-0000-000012000000}"/>
    <hyperlink ref="B45" r:id="rId20" xr:uid="{00000000-0004-0000-0000-000013000000}"/>
    <hyperlink ref="B46" r:id="rId21" xr:uid="{00000000-0004-0000-0000-000014000000}"/>
    <hyperlink ref="B47" r:id="rId22" xr:uid="{00000000-0004-0000-0000-000015000000}"/>
    <hyperlink ref="B48" r:id="rId23" xr:uid="{00000000-0004-0000-0000-000016000000}"/>
    <hyperlink ref="B49" r:id="rId24" xr:uid="{00000000-0004-0000-0000-000017000000}"/>
    <hyperlink ref="B50" r:id="rId25" xr:uid="{00000000-0004-0000-0000-000018000000}"/>
    <hyperlink ref="B51" r:id="rId26" xr:uid="{00000000-0004-0000-0000-000019000000}"/>
    <hyperlink ref="B52" r:id="rId27" xr:uid="{00000000-0004-0000-0000-00001A000000}"/>
    <hyperlink ref="B53" r:id="rId28" xr:uid="{00000000-0004-0000-0000-00001B000000}"/>
    <hyperlink ref="B55" r:id="rId29" xr:uid="{00000000-0004-0000-0000-00001C000000}"/>
    <hyperlink ref="B56" r:id="rId30" xr:uid="{00000000-0004-0000-0000-00001D000000}"/>
    <hyperlink ref="B57" r:id="rId31" xr:uid="{00000000-0004-0000-0000-00001E000000}"/>
    <hyperlink ref="B58" r:id="rId32" xr:uid="{00000000-0004-0000-0000-00001F000000}"/>
    <hyperlink ref="B59" r:id="rId33" xr:uid="{00000000-0004-0000-0000-000020000000}"/>
    <hyperlink ref="B60" r:id="rId34" xr:uid="{00000000-0004-0000-0000-000021000000}"/>
    <hyperlink ref="B61" r:id="rId35" xr:uid="{00000000-0004-0000-0000-000022000000}"/>
    <hyperlink ref="B62" r:id="rId36" xr:uid="{00000000-0004-0000-0000-000023000000}"/>
    <hyperlink ref="B63" r:id="rId37" xr:uid="{00000000-0004-0000-0000-000024000000}"/>
    <hyperlink ref="B64" r:id="rId38" xr:uid="{00000000-0004-0000-0000-000025000000}"/>
    <hyperlink ref="B65" r:id="rId39" xr:uid="{00000000-0004-0000-0000-000026000000}"/>
    <hyperlink ref="B66" r:id="rId40" xr:uid="{00000000-0004-0000-0000-000027000000}"/>
    <hyperlink ref="B67" r:id="rId41" xr:uid="{00000000-0004-0000-0000-000028000000}"/>
    <hyperlink ref="B68" r:id="rId42" xr:uid="{00000000-0004-0000-0000-000029000000}"/>
    <hyperlink ref="B69" r:id="rId43" xr:uid="{00000000-0004-0000-0000-00002A000000}"/>
    <hyperlink ref="B74" r:id="rId44" xr:uid="{00000000-0004-0000-0000-00002B000000}"/>
    <hyperlink ref="B75" r:id="rId45" xr:uid="{00000000-0004-0000-0000-00002C000000}"/>
    <hyperlink ref="B76" r:id="rId46" xr:uid="{00000000-0004-0000-0000-00002D000000}"/>
    <hyperlink ref="B77" r:id="rId47" xr:uid="{00000000-0004-0000-0000-00002E000000}"/>
    <hyperlink ref="B78" r:id="rId48" xr:uid="{00000000-0004-0000-0000-00002F000000}"/>
    <hyperlink ref="B79" r:id="rId49" xr:uid="{00000000-0004-0000-0000-000030000000}"/>
    <hyperlink ref="B81" r:id="rId50" xr:uid="{00000000-0004-0000-0000-000031000000}"/>
    <hyperlink ref="B82" r:id="rId51" xr:uid="{00000000-0004-0000-0000-000032000000}"/>
    <hyperlink ref="A86" r:id="rId52" xr:uid="{00000000-0004-0000-0000-000033000000}"/>
    <hyperlink ref="B89" r:id="rId53" xr:uid="{00000000-0004-0000-0000-000034000000}"/>
    <hyperlink ref="B90" r:id="rId54" xr:uid="{00000000-0004-0000-0000-000035000000}"/>
    <hyperlink ref="B91" r:id="rId55" xr:uid="{00000000-0004-0000-0000-000036000000}"/>
    <hyperlink ref="B92" r:id="rId56" xr:uid="{00000000-0004-0000-0000-000037000000}"/>
    <hyperlink ref="B93" r:id="rId57" xr:uid="{00000000-0004-0000-0000-000038000000}"/>
    <hyperlink ref="B94" r:id="rId58" xr:uid="{00000000-0004-0000-0000-000039000000}"/>
    <hyperlink ref="B97" r:id="rId59" xr:uid="{00000000-0004-0000-0000-00003A000000}"/>
    <hyperlink ref="B98" r:id="rId60" xr:uid="{00000000-0004-0000-0000-00003B000000}"/>
    <hyperlink ref="B99" r:id="rId61" xr:uid="{00000000-0004-0000-0000-00003C000000}"/>
    <hyperlink ref="B100" r:id="rId62" xr:uid="{00000000-0004-0000-0000-00003D000000}"/>
    <hyperlink ref="B101" r:id="rId63" xr:uid="{00000000-0004-0000-0000-00003E000000}"/>
    <hyperlink ref="B102" r:id="rId64" xr:uid="{00000000-0004-0000-0000-00003F000000}"/>
    <hyperlink ref="B103" r:id="rId65" xr:uid="{00000000-0004-0000-0000-000040000000}"/>
    <hyperlink ref="B104" r:id="rId66" xr:uid="{00000000-0004-0000-0000-000041000000}"/>
    <hyperlink ref="B105" r:id="rId67" xr:uid="{00000000-0004-0000-0000-000042000000}"/>
    <hyperlink ref="B106" r:id="rId68" xr:uid="{00000000-0004-0000-0000-000043000000}"/>
    <hyperlink ref="B107" r:id="rId69" xr:uid="{00000000-0004-0000-0000-000044000000}"/>
    <hyperlink ref="B108" r:id="rId70" xr:uid="{00000000-0004-0000-0000-000045000000}"/>
    <hyperlink ref="B109" r:id="rId71" xr:uid="{00000000-0004-0000-0000-000046000000}"/>
    <hyperlink ref="B110" r:id="rId72" xr:uid="{00000000-0004-0000-0000-000047000000}"/>
    <hyperlink ref="B111" r:id="rId73" xr:uid="{00000000-0004-0000-0000-000048000000}"/>
    <hyperlink ref="B113" r:id="rId74" xr:uid="{00000000-0004-0000-0000-000049000000}"/>
    <hyperlink ref="B114" r:id="rId75" xr:uid="{00000000-0004-0000-0000-00004A000000}"/>
    <hyperlink ref="B115" r:id="rId76" xr:uid="{00000000-0004-0000-0000-00004B000000}"/>
    <hyperlink ref="B117" r:id="rId77" xr:uid="{00000000-0004-0000-0000-00004C000000}"/>
    <hyperlink ref="B118" r:id="rId78" xr:uid="{00000000-0004-0000-0000-00004D000000}"/>
    <hyperlink ref="B119" r:id="rId79" xr:uid="{00000000-0004-0000-0000-00004E000000}"/>
    <hyperlink ref="B120" r:id="rId80" xr:uid="{00000000-0004-0000-0000-00004F000000}"/>
    <hyperlink ref="B121" r:id="rId81" xr:uid="{00000000-0004-0000-0000-000050000000}"/>
    <hyperlink ref="B122" r:id="rId82" xr:uid="{00000000-0004-0000-0000-000051000000}"/>
    <hyperlink ref="B123" r:id="rId83" xr:uid="{00000000-0004-0000-0000-000052000000}"/>
    <hyperlink ref="B124" r:id="rId84" xr:uid="{00000000-0004-0000-0000-000053000000}"/>
    <hyperlink ref="B125" r:id="rId85" xr:uid="{00000000-0004-0000-0000-000054000000}"/>
    <hyperlink ref="B126" r:id="rId86" xr:uid="{00000000-0004-0000-0000-000055000000}"/>
    <hyperlink ref="B129" r:id="rId87" xr:uid="{00000000-0004-0000-0000-000056000000}"/>
    <hyperlink ref="B130" r:id="rId88" xr:uid="{00000000-0004-0000-0000-000057000000}"/>
    <hyperlink ref="B131" r:id="rId89" xr:uid="{00000000-0004-0000-0000-000058000000}"/>
    <hyperlink ref="B132" r:id="rId90" xr:uid="{00000000-0004-0000-0000-000059000000}"/>
    <hyperlink ref="B136" r:id="rId91" xr:uid="{00000000-0004-0000-0000-00005A000000}"/>
    <hyperlink ref="B137" r:id="rId92" xr:uid="{00000000-0004-0000-0000-00005B000000}"/>
    <hyperlink ref="B138" r:id="rId93" xr:uid="{00000000-0004-0000-0000-00005C000000}"/>
    <hyperlink ref="B143" r:id="rId94" xr:uid="{00000000-0004-0000-0000-00005D000000}"/>
    <hyperlink ref="B144" r:id="rId95" xr:uid="{00000000-0004-0000-0000-00005E000000}"/>
    <hyperlink ref="B146" r:id="rId96" xr:uid="{00000000-0004-0000-0000-00005F000000}"/>
    <hyperlink ref="B147" r:id="rId97" xr:uid="{00000000-0004-0000-0000-000060000000}"/>
    <hyperlink ref="B148" r:id="rId98" xr:uid="{00000000-0004-0000-0000-000061000000}"/>
    <hyperlink ref="B149" r:id="rId99" xr:uid="{00000000-0004-0000-0000-000062000000}"/>
    <hyperlink ref="B151" r:id="rId100" xr:uid="{00000000-0004-0000-0000-000063000000}"/>
    <hyperlink ref="B152" r:id="rId101" xr:uid="{00000000-0004-0000-0000-000064000000}"/>
    <hyperlink ref="B153" r:id="rId102" xr:uid="{00000000-0004-0000-0000-000065000000}"/>
    <hyperlink ref="B157" r:id="rId103" xr:uid="{00000000-0004-0000-0000-000066000000}"/>
    <hyperlink ref="B159" r:id="rId104" xr:uid="{00000000-0004-0000-0000-000067000000}"/>
    <hyperlink ref="B161" r:id="rId105" xr:uid="{00000000-0004-0000-0000-000068000000}"/>
    <hyperlink ref="B162" r:id="rId106" xr:uid="{00000000-0004-0000-0000-000069000000}"/>
    <hyperlink ref="B163" r:id="rId107" xr:uid="{00000000-0004-0000-0000-00006A000000}"/>
    <hyperlink ref="B165" r:id="rId108" xr:uid="{00000000-0004-0000-0000-00006B000000}"/>
    <hyperlink ref="B173" r:id="rId109" xr:uid="{00000000-0004-0000-0000-00006C000000}"/>
    <hyperlink ref="B176" r:id="rId110" xr:uid="{00000000-0004-0000-0000-00006D000000}"/>
    <hyperlink ref="B177" r:id="rId111" xr:uid="{00000000-0004-0000-0000-00006E000000}"/>
    <hyperlink ref="B178" r:id="rId112" xr:uid="{00000000-0004-0000-0000-00006F000000}"/>
    <hyperlink ref="B182" r:id="rId113" xr:uid="{00000000-0004-0000-0000-000070000000}"/>
    <hyperlink ref="B187" r:id="rId114" xr:uid="{00000000-0004-0000-0000-000071000000}"/>
    <hyperlink ref="B188" r:id="rId115" xr:uid="{00000000-0004-0000-0000-000072000000}"/>
    <hyperlink ref="B191" r:id="rId116" xr:uid="{00000000-0004-0000-0000-000073000000}"/>
    <hyperlink ref="B192" r:id="rId117" xr:uid="{00000000-0004-0000-0000-000074000000}"/>
    <hyperlink ref="B248" r:id="rId118" xr:uid="{00000000-0004-0000-0000-000075000000}"/>
    <hyperlink ref="B249" r:id="rId119" xr:uid="{00000000-0004-0000-0000-000076000000}"/>
    <hyperlink ref="B263" r:id="rId120" xr:uid="{00000000-0004-0000-0000-000077000000}"/>
    <hyperlink ref="B271" r:id="rId121" xr:uid="{00000000-0004-0000-0000-000078000000}"/>
    <hyperlink ref="B279" r:id="rId122" xr:uid="{00000000-0004-0000-0000-000079000000}"/>
    <hyperlink ref="B280" r:id="rId123" xr:uid="{00000000-0004-0000-0000-00007A000000}"/>
    <hyperlink ref="B283" r:id="rId124" xr:uid="{00000000-0004-0000-0000-00007B000000}"/>
    <hyperlink ref="B284" r:id="rId125" xr:uid="{00000000-0004-0000-0000-00007C000000}"/>
    <hyperlink ref="B285" r:id="rId126" xr:uid="{00000000-0004-0000-0000-00007D000000}"/>
    <hyperlink ref="B311" r:id="rId127" xr:uid="{00000000-0004-0000-0000-00007E000000}"/>
    <hyperlink ref="B312" r:id="rId128" xr:uid="{00000000-0004-0000-0000-00007F000000}"/>
    <hyperlink ref="B318" r:id="rId129" xr:uid="{00000000-0004-0000-0000-000080000000}"/>
    <hyperlink ref="B319" r:id="rId130" xr:uid="{00000000-0004-0000-0000-000081000000}"/>
    <hyperlink ref="B320" r:id="rId131" xr:uid="{00000000-0004-0000-0000-000082000000}"/>
    <hyperlink ref="B323" r:id="rId132" xr:uid="{00000000-0004-0000-0000-000083000000}"/>
    <hyperlink ref="B324" r:id="rId133" xr:uid="{00000000-0004-0000-0000-000084000000}"/>
    <hyperlink ref="B326" r:id="rId134" xr:uid="{00000000-0004-0000-0000-000085000000}"/>
    <hyperlink ref="B327" r:id="rId135" xr:uid="{00000000-0004-0000-0000-000086000000}"/>
    <hyperlink ref="B328" r:id="rId136" xr:uid="{00000000-0004-0000-0000-000087000000}"/>
    <hyperlink ref="B329" r:id="rId137" xr:uid="{00000000-0004-0000-0000-000088000000}"/>
    <hyperlink ref="B330" r:id="rId138" xr:uid="{00000000-0004-0000-0000-000089000000}"/>
    <hyperlink ref="B332" r:id="rId139" xr:uid="{00000000-0004-0000-0000-00008A000000}"/>
    <hyperlink ref="B333" r:id="rId140" xr:uid="{00000000-0004-0000-0000-00008B000000}"/>
    <hyperlink ref="B345" r:id="rId141" xr:uid="{00000000-0004-0000-0000-00008C000000}"/>
    <hyperlink ref="B346" r:id="rId142" xr:uid="{00000000-0004-0000-0000-00008D000000}"/>
    <hyperlink ref="B399" r:id="rId143" xr:uid="{00000000-0004-0000-0000-00008E000000}"/>
    <hyperlink ref="B409" r:id="rId144" xr:uid="{00000000-0004-0000-0000-00008F000000}"/>
    <hyperlink ref="B410" r:id="rId145" xr:uid="{00000000-0004-0000-0000-000090000000}"/>
    <hyperlink ref="B411" r:id="rId146" xr:uid="{00000000-0004-0000-0000-000091000000}"/>
    <hyperlink ref="B412" r:id="rId147" xr:uid="{00000000-0004-0000-0000-000092000000}"/>
    <hyperlink ref="B413" r:id="rId148" xr:uid="{00000000-0004-0000-0000-000093000000}"/>
    <hyperlink ref="B429" r:id="rId149" xr:uid="{00000000-0004-0000-0000-000094000000}"/>
    <hyperlink ref="B430" r:id="rId150" xr:uid="{00000000-0004-0000-0000-000095000000}"/>
    <hyperlink ref="B431" r:id="rId151" xr:uid="{00000000-0004-0000-0000-000096000000}"/>
    <hyperlink ref="B432" r:id="rId152" xr:uid="{00000000-0004-0000-0000-000097000000}"/>
    <hyperlink ref="B433" r:id="rId153" xr:uid="{00000000-0004-0000-0000-000098000000}"/>
    <hyperlink ref="B434" r:id="rId154" xr:uid="{00000000-0004-0000-0000-000099000000}"/>
    <hyperlink ref="B435" r:id="rId155" xr:uid="{00000000-0004-0000-0000-00009A000000}"/>
    <hyperlink ref="B436" r:id="rId156" xr:uid="{00000000-0004-0000-0000-00009B000000}"/>
    <hyperlink ref="B437" r:id="rId157" xr:uid="{00000000-0004-0000-0000-00009C000000}"/>
    <hyperlink ref="B438" r:id="rId158" xr:uid="{00000000-0004-0000-0000-00009D000000}"/>
    <hyperlink ref="B439" r:id="rId159" xr:uid="{00000000-0004-0000-0000-00009E000000}"/>
    <hyperlink ref="B440" r:id="rId160" xr:uid="{00000000-0004-0000-0000-00009F000000}"/>
    <hyperlink ref="B442" r:id="rId161" xr:uid="{00000000-0004-0000-0000-0000A0000000}"/>
    <hyperlink ref="B443" r:id="rId162" xr:uid="{00000000-0004-0000-0000-0000A1000000}"/>
    <hyperlink ref="B444" r:id="rId163" xr:uid="{00000000-0004-0000-0000-0000A2000000}"/>
    <hyperlink ref="B445" r:id="rId164" xr:uid="{00000000-0004-0000-0000-0000A3000000}"/>
    <hyperlink ref="B446" r:id="rId165" xr:uid="{00000000-0004-0000-0000-0000A4000000}"/>
  </hyperlinks>
  <printOptions horizontalCentered="1" gridLines="1"/>
  <pageMargins left="0.25" right="0.25" top="0.75" bottom="0.75" header="0" footer="0"/>
  <pageSetup paperSize="9" scale="50" pageOrder="overThenDown" orientation="portrait"/>
  <drawing r:id="rId16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F1218"/>
  <sheetViews>
    <sheetView workbookViewId="0"/>
  </sheetViews>
  <sheetFormatPr defaultColWidth="12.5703125" defaultRowHeight="15.75" customHeight="1"/>
  <cols>
    <col min="1" max="1" width="0.5703125" customWidth="1"/>
    <col min="2" max="2" width="62.140625" customWidth="1"/>
    <col min="3" max="3" width="6.85546875" customWidth="1"/>
    <col min="4" max="4" width="12.42578125" customWidth="1"/>
    <col min="5" max="5" width="20.28515625" customWidth="1"/>
    <col min="6" max="6" width="8.85546875" customWidth="1"/>
    <col min="7" max="7" width="24.28515625" customWidth="1"/>
    <col min="8" max="8" width="8.5703125" customWidth="1"/>
    <col min="9" max="9" width="18.140625" customWidth="1"/>
    <col min="10" max="10" width="9.28515625" customWidth="1"/>
    <col min="11" max="11" width="11.42578125" customWidth="1"/>
    <col min="12" max="12" width="7.7109375" customWidth="1"/>
    <col min="13" max="13" width="8.42578125" customWidth="1"/>
    <col min="14" max="17" width="6.42578125" customWidth="1"/>
    <col min="18" max="32" width="21" customWidth="1"/>
  </cols>
  <sheetData>
    <row r="1" spans="1:32" ht="23.25" customHeight="1">
      <c r="A1" s="439" t="s">
        <v>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</row>
    <row r="2" spans="1:32" ht="24" customHeight="1">
      <c r="A2" s="441" t="s">
        <v>1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X2" s="341"/>
      <c r="Y2" s="341"/>
      <c r="Z2" s="341"/>
      <c r="AA2" s="341"/>
      <c r="AB2" s="341"/>
      <c r="AC2" s="341"/>
      <c r="AD2" s="341"/>
      <c r="AE2" s="341"/>
      <c r="AF2" s="341"/>
    </row>
    <row r="3" spans="1:32" ht="15.75" customHeight="1">
      <c r="A3" s="442" t="s">
        <v>2</v>
      </c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</row>
    <row r="4" spans="1:32" ht="15.75" customHeight="1">
      <c r="A4" s="442" t="s">
        <v>3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</row>
    <row r="5" spans="1:32" ht="20.25" customHeight="1">
      <c r="A5" s="439" t="s">
        <v>4</v>
      </c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</row>
    <row r="6" spans="1:32" ht="24" customHeight="1">
      <c r="A6" s="441" t="str">
        <f>HYPERLINK("http://amare-moscow.ru/about/contacts/","8 (499) 350-40-21")</f>
        <v>8 (499) 350-40-21</v>
      </c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341"/>
      <c r="M6" s="369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</row>
    <row r="7" spans="1:32" ht="27" customHeight="1">
      <c r="A7" s="443" t="s">
        <v>5</v>
      </c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370"/>
      <c r="M7" s="371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370"/>
      <c r="AA7" s="370"/>
      <c r="AB7" s="370"/>
      <c r="AC7" s="370"/>
      <c r="AD7" s="370"/>
      <c r="AE7" s="370"/>
      <c r="AF7" s="370"/>
    </row>
    <row r="8" spans="1:32" ht="27.75" customHeight="1">
      <c r="A8" s="446" t="s">
        <v>8</v>
      </c>
      <c r="B8" s="447"/>
      <c r="C8" s="448"/>
      <c r="D8" s="452">
        <f ca="1">TODAY()</f>
        <v>44953</v>
      </c>
      <c r="E8" s="447"/>
      <c r="F8" s="447"/>
      <c r="G8" s="453">
        <f ca="1">WEEKNUM(D8,1)</f>
        <v>4</v>
      </c>
      <c r="H8" s="448"/>
      <c r="I8" s="469" t="s">
        <v>600</v>
      </c>
      <c r="J8" s="455" t="s">
        <v>11</v>
      </c>
      <c r="K8" s="2" t="s">
        <v>12</v>
      </c>
      <c r="L8" s="341"/>
      <c r="M8" s="369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</row>
    <row r="9" spans="1:32" ht="15" customHeight="1">
      <c r="A9" s="449"/>
      <c r="B9" s="450"/>
      <c r="C9" s="451"/>
      <c r="D9" s="449"/>
      <c r="E9" s="450"/>
      <c r="F9" s="450"/>
      <c r="G9" s="449"/>
      <c r="H9" s="451"/>
      <c r="I9" s="451"/>
      <c r="J9" s="450"/>
      <c r="K9" s="2">
        <f>SUM(K14:K378)</f>
        <v>0</v>
      </c>
      <c r="L9" s="341"/>
      <c r="M9" s="369"/>
      <c r="N9" s="341"/>
      <c r="O9" s="341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</row>
    <row r="10" spans="1:32" ht="12" customHeight="1">
      <c r="A10" s="470" t="s">
        <v>601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9"/>
      <c r="L10" s="5"/>
      <c r="M10" s="372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2" ht="20.25" customHeight="1">
      <c r="A11" s="471" t="s">
        <v>13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9"/>
      <c r="L11" s="5"/>
      <c r="M11" s="372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1:32" ht="16.5" customHeight="1">
      <c r="A12" s="461" t="str">
        <f>HYPERLINK("http://amare-moscow.ru/catalog/kulinariya_rybnaya/","Кулинария рыбная ")</f>
        <v xml:space="preserve">Кулинария рыбная </v>
      </c>
      <c r="B12" s="457"/>
      <c r="C12" s="457"/>
      <c r="D12" s="457"/>
      <c r="E12" s="457"/>
      <c r="F12" s="457"/>
      <c r="G12" s="457"/>
      <c r="H12" s="457"/>
      <c r="I12" s="457"/>
      <c r="J12" s="457"/>
      <c r="K12" s="459"/>
      <c r="L12" s="5"/>
      <c r="M12" s="372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1:32" ht="26.25" customHeight="1">
      <c r="A13" s="20"/>
      <c r="B13" s="200" t="str">
        <f>HYPERLINK("http://www.amare-moscow.ru/catalog/medalony_i_burgery/","Медальоны и бургеры")</f>
        <v>Медальоны и бургеры</v>
      </c>
      <c r="C13" s="22"/>
      <c r="D13" s="23" t="s">
        <v>28</v>
      </c>
      <c r="E13" s="23" t="s">
        <v>29</v>
      </c>
      <c r="F13" s="24" t="s">
        <v>30</v>
      </c>
      <c r="G13" s="23" t="s">
        <v>31</v>
      </c>
      <c r="H13" s="25" t="s">
        <v>32</v>
      </c>
      <c r="I13" s="24" t="s">
        <v>33</v>
      </c>
      <c r="J13" s="24" t="s">
        <v>34</v>
      </c>
      <c r="K13" s="23" t="s">
        <v>35</v>
      </c>
      <c r="L13" s="373"/>
      <c r="M13" s="341"/>
      <c r="N13" s="341"/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</row>
    <row r="14" spans="1:32" ht="15" customHeight="1">
      <c r="A14" s="5"/>
      <c r="B14" s="150" t="str">
        <f>HYPERLINK("http://amare-moscow.ru/catalog/medalony_i_burgery/medalony_keta_treska_s_m_skin_pek_don_kreveton_0_18kg_6sht_rossiya/","Медальоны кета, треска")</f>
        <v>Медальоны кета, треска</v>
      </c>
      <c r="C14" s="27"/>
      <c r="D14" s="28" t="s">
        <v>51</v>
      </c>
      <c r="E14" s="46" t="s">
        <v>52</v>
      </c>
      <c r="F14" s="29" t="s">
        <v>39</v>
      </c>
      <c r="G14" s="30" t="s">
        <v>19</v>
      </c>
      <c r="H14" s="12" t="s">
        <v>20</v>
      </c>
      <c r="I14" s="13">
        <v>120</v>
      </c>
      <c r="J14" s="30"/>
      <c r="K14" s="30">
        <f t="shared" ref="K14:K19" si="0">I14*J14</f>
        <v>0</v>
      </c>
      <c r="L14" s="341"/>
      <c r="M14" s="341"/>
      <c r="N14" s="341"/>
      <c r="O14" s="341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</row>
    <row r="15" spans="1:32" ht="15" customHeight="1">
      <c r="A15" s="5"/>
      <c r="B15" s="150" t="str">
        <f>HYPERLINK("http://amare-moscow.ru/catalog/medalony_i_burgery/medalony_krevetka_gorbusha_s_m_skin_pek_don_kreveton_0_18kg_6sht_rossiya/","Медальоны креветка, горбуша")</f>
        <v>Медальоны креветка, горбуша</v>
      </c>
      <c r="C15" s="27"/>
      <c r="D15" s="28" t="s">
        <v>51</v>
      </c>
      <c r="E15" s="46" t="s">
        <v>54</v>
      </c>
      <c r="F15" s="29" t="s">
        <v>39</v>
      </c>
      <c r="G15" s="30" t="s">
        <v>19</v>
      </c>
      <c r="H15" s="12" t="s">
        <v>20</v>
      </c>
      <c r="I15" s="13">
        <v>150</v>
      </c>
      <c r="J15" s="30"/>
      <c r="K15" s="30">
        <f t="shared" si="0"/>
        <v>0</v>
      </c>
      <c r="L15" s="341"/>
      <c r="M15" s="341"/>
      <c r="N15" s="341"/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</row>
    <row r="16" spans="1:32" ht="15" customHeight="1">
      <c r="A16" s="5"/>
      <c r="B16" s="150" t="str">
        <f>HYPERLINK("http://amare-moscow.ru/catalog/medalony_i_burgery/medalony_semga_brokkoli_s_m_skin_pek_don_kreveton_0_18kg_6sht_rossiya/","Медальоны семга, брокколи")</f>
        <v>Медальоны семга, брокколи</v>
      </c>
      <c r="C16" s="27"/>
      <c r="D16" s="28" t="s">
        <v>51</v>
      </c>
      <c r="E16" s="46" t="s">
        <v>54</v>
      </c>
      <c r="F16" s="29" t="s">
        <v>39</v>
      </c>
      <c r="G16" s="30" t="s">
        <v>19</v>
      </c>
      <c r="H16" s="12" t="s">
        <v>20</v>
      </c>
      <c r="I16" s="13">
        <v>170</v>
      </c>
      <c r="J16" s="30"/>
      <c r="K16" s="30">
        <f t="shared" si="0"/>
        <v>0</v>
      </c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</row>
    <row r="17" spans="1:32" ht="15" customHeight="1">
      <c r="A17" s="5"/>
      <c r="B17" s="150" t="str">
        <f>HYPERLINK("http://amare-moscow.ru/catalog/medalony_i_burgery/medalony_tunets_s_m_skin_pek_don_kreveton_0_18kg_6sht_rossiya/","Медальоны тунец")</f>
        <v>Медальоны тунец</v>
      </c>
      <c r="C17" s="27"/>
      <c r="D17" s="28" t="s">
        <v>51</v>
      </c>
      <c r="E17" s="46" t="s">
        <v>54</v>
      </c>
      <c r="F17" s="29" t="s">
        <v>39</v>
      </c>
      <c r="G17" s="30" t="s">
        <v>19</v>
      </c>
      <c r="H17" s="12" t="s">
        <v>20</v>
      </c>
      <c r="I17" s="13">
        <v>170</v>
      </c>
      <c r="J17" s="30"/>
      <c r="K17" s="30">
        <f t="shared" si="0"/>
        <v>0</v>
      </c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</row>
    <row r="18" spans="1:32" ht="15" customHeight="1">
      <c r="A18" s="5"/>
      <c r="B18" s="150" t="str">
        <f>HYPERLINK("http://amare-moscow.ru/catalog/medalony_i_burgery/medalony_tunets_nerka_brokkoli_s_m_skin_pek_don_kreveton_0_18kg_6sht_rossiya/","Медальоны тунец, нерка, брокколи")</f>
        <v>Медальоны тунец, нерка, брокколи</v>
      </c>
      <c r="C18" s="27"/>
      <c r="D18" s="28" t="s">
        <v>51</v>
      </c>
      <c r="E18" s="46" t="s">
        <v>54</v>
      </c>
      <c r="F18" s="29" t="s">
        <v>39</v>
      </c>
      <c r="G18" s="30" t="s">
        <v>19</v>
      </c>
      <c r="H18" s="12" t="s">
        <v>20</v>
      </c>
      <c r="I18" s="13">
        <v>160</v>
      </c>
      <c r="J18" s="30"/>
      <c r="K18" s="30">
        <f t="shared" si="0"/>
        <v>0</v>
      </c>
      <c r="L18" s="341"/>
      <c r="M18" s="341"/>
      <c r="N18" s="341"/>
      <c r="O18" s="341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</row>
    <row r="19" spans="1:32" ht="15" customHeight="1">
      <c r="A19" s="5"/>
      <c r="B19" s="150" t="str">
        <f>HYPERLINK("http://amare-moscow.ru/catalog/medalony_i_burgery/medalony_tunets_treska_brokkoli_s_m_skin_pek_don_kreveton_0_18kg_6sht_rossiya/","Медальоны тунец, треска, брокколи")</f>
        <v>Медальоны тунец, треска, брокколи</v>
      </c>
      <c r="C19" s="27"/>
      <c r="D19" s="28" t="s">
        <v>51</v>
      </c>
      <c r="E19" s="46" t="s">
        <v>54</v>
      </c>
      <c r="F19" s="29" t="s">
        <v>39</v>
      </c>
      <c r="G19" s="30" t="s">
        <v>19</v>
      </c>
      <c r="H19" s="12" t="s">
        <v>20</v>
      </c>
      <c r="I19" s="13">
        <v>150</v>
      </c>
      <c r="J19" s="30"/>
      <c r="K19" s="30">
        <f t="shared" si="0"/>
        <v>0</v>
      </c>
      <c r="L19" s="341"/>
      <c r="M19" s="341"/>
      <c r="N19" s="341"/>
      <c r="O19" s="341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</row>
    <row r="20" spans="1:32" ht="15" customHeight="1">
      <c r="A20" s="5"/>
      <c r="B20" s="150" t="str">
        <f>HYPERLINK("http://www.amare-moscow.ru/catalog/medalony_i_burgery/medalony_rybnye_iz_kheka_peruanskogo_s_m_don_kreveton_5_kg_rossiya/","Медальоны рыбные из хека перуанского")</f>
        <v>Медальоны рыбные из хека перуанского</v>
      </c>
      <c r="C20" s="27"/>
      <c r="D20" s="28" t="s">
        <v>61</v>
      </c>
      <c r="E20" s="46" t="s">
        <v>62</v>
      </c>
      <c r="F20" s="29" t="s">
        <v>39</v>
      </c>
      <c r="G20" s="30" t="s">
        <v>19</v>
      </c>
      <c r="H20" s="13" t="s">
        <v>22</v>
      </c>
      <c r="I20" s="13">
        <v>325</v>
      </c>
      <c r="J20" s="30"/>
      <c r="K20" s="30">
        <v>0</v>
      </c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</row>
    <row r="21" spans="1:32" ht="26.25" customHeight="1">
      <c r="A21" s="20"/>
      <c r="B21" s="200" t="str">
        <f>HYPERLINK("http://www.amare-moscow.ru/catalog/pelmeni/","Пельмени рыбные с/м")</f>
        <v>Пельмени рыбные с/м</v>
      </c>
      <c r="C21" s="22"/>
      <c r="D21" s="23" t="s">
        <v>28</v>
      </c>
      <c r="E21" s="23" t="s">
        <v>29</v>
      </c>
      <c r="F21" s="24" t="s">
        <v>30</v>
      </c>
      <c r="G21" s="23" t="s">
        <v>31</v>
      </c>
      <c r="H21" s="25" t="s">
        <v>32</v>
      </c>
      <c r="I21" s="24" t="s">
        <v>33</v>
      </c>
      <c r="J21" s="24" t="s">
        <v>34</v>
      </c>
      <c r="K21" s="23" t="s">
        <v>35</v>
      </c>
      <c r="L21" s="373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</row>
    <row r="22" spans="1:32" ht="15" customHeight="1">
      <c r="A22" s="5"/>
      <c r="B22" s="150" t="str">
        <f>HYPERLINK("http://amare-moscow.ru/catalog/pelmeni/pelmeni_rybnye_s_gorbushey_s_m_don_kreveton_0_4kg_12sht_rossiya/","Пельмени с горбушей")</f>
        <v>Пельмени с горбушей</v>
      </c>
      <c r="C22" s="27"/>
      <c r="D22" s="28" t="s">
        <v>69</v>
      </c>
      <c r="E22" s="12" t="s">
        <v>70</v>
      </c>
      <c r="F22" s="29" t="s">
        <v>71</v>
      </c>
      <c r="G22" s="30" t="s">
        <v>19</v>
      </c>
      <c r="H22" s="12" t="s">
        <v>20</v>
      </c>
      <c r="I22" s="13">
        <v>130</v>
      </c>
      <c r="J22" s="30"/>
      <c r="K22" s="30">
        <f t="shared" ref="K22:K23" si="1">I22*J22</f>
        <v>0</v>
      </c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</row>
    <row r="23" spans="1:32" ht="15" customHeight="1">
      <c r="A23" s="5"/>
      <c r="B23" s="150" t="str">
        <f>HYPERLINK("http://amare-moscow.ru/catalog/pelmeni/pelmeni_rybnye_s_krevetkoy_s_m_don_kreveton_0_4kg_12sht_rossiya/","Пельмени с креветкой")</f>
        <v>Пельмени с креветкой</v>
      </c>
      <c r="C23" s="27"/>
      <c r="D23" s="28" t="s">
        <v>69</v>
      </c>
      <c r="E23" s="12" t="s">
        <v>70</v>
      </c>
      <c r="F23" s="29" t="s">
        <v>71</v>
      </c>
      <c r="G23" s="30" t="s">
        <v>19</v>
      </c>
      <c r="H23" s="12" t="s">
        <v>20</v>
      </c>
      <c r="I23" s="13">
        <v>200</v>
      </c>
      <c r="J23" s="30"/>
      <c r="K23" s="30">
        <f t="shared" si="1"/>
        <v>0</v>
      </c>
      <c r="L23" s="341"/>
      <c r="M23" s="341"/>
      <c r="N23" s="341"/>
      <c r="O23" s="341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</row>
    <row r="24" spans="1:32" ht="15" customHeight="1">
      <c r="A24" s="5"/>
      <c r="B24" s="150" t="str">
        <f>HYPERLINK("http://amare-moscow.ru/catalog/pelmeni/pelmeni_rybnye_s_semgoy_s_m_don_kreveton_0_4kg_12sht_rossiya/","Пельмени с семгой")</f>
        <v>Пельмени с семгой</v>
      </c>
      <c r="C24" s="27"/>
      <c r="D24" s="28" t="s">
        <v>69</v>
      </c>
      <c r="E24" s="12" t="s">
        <v>70</v>
      </c>
      <c r="F24" s="29" t="s">
        <v>71</v>
      </c>
      <c r="G24" s="30" t="s">
        <v>19</v>
      </c>
      <c r="H24" s="12" t="s">
        <v>20</v>
      </c>
      <c r="I24" s="13">
        <v>160</v>
      </c>
      <c r="J24" s="30"/>
      <c r="K24" s="30">
        <v>0</v>
      </c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</row>
    <row r="25" spans="1:32" ht="15" customHeight="1">
      <c r="A25" s="5"/>
      <c r="B25" s="150" t="str">
        <f>HYPERLINK("http://amare-moscow.ru/catalog/pelmeni/pelmeni_rybnye_s_sudakom_s_m_don_kreveton_0_4kg_12sht_rossiya/","Пельмени с судаком ")</f>
        <v xml:space="preserve">Пельмени с судаком </v>
      </c>
      <c r="C25" s="27"/>
      <c r="D25" s="28" t="s">
        <v>69</v>
      </c>
      <c r="E25" s="12" t="s">
        <v>70</v>
      </c>
      <c r="F25" s="29" t="s">
        <v>71</v>
      </c>
      <c r="G25" s="30" t="s">
        <v>19</v>
      </c>
      <c r="H25" s="12" t="s">
        <v>20</v>
      </c>
      <c r="I25" s="13">
        <v>140</v>
      </c>
      <c r="J25" s="30"/>
      <c r="K25" s="30">
        <f t="shared" ref="K25:K34" si="2">I25*J25</f>
        <v>0</v>
      </c>
      <c r="L25" s="341"/>
      <c r="M25" s="341"/>
      <c r="N25" s="341"/>
      <c r="O25" s="341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</row>
    <row r="26" spans="1:32" ht="15" customHeight="1">
      <c r="A26" s="5"/>
      <c r="B26" s="150" t="str">
        <f>HYPERLINK("http://amare-moscow.ru/catalog/pelmeni/pelmeni_rybnye_s_treskoy_i_kalmarom_s_m_don_kreveton_0_4kg_12sht_rossiya/","Пельмени с треской и кальмаром")</f>
        <v>Пельмени с треской и кальмаром</v>
      </c>
      <c r="C26" s="27"/>
      <c r="D26" s="28" t="s">
        <v>69</v>
      </c>
      <c r="E26" s="12" t="s">
        <v>70</v>
      </c>
      <c r="F26" s="29" t="s">
        <v>71</v>
      </c>
      <c r="G26" s="30" t="s">
        <v>19</v>
      </c>
      <c r="H26" s="12" t="s">
        <v>20</v>
      </c>
      <c r="I26" s="13">
        <v>130</v>
      </c>
      <c r="J26" s="30"/>
      <c r="K26" s="30">
        <f t="shared" si="2"/>
        <v>0</v>
      </c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</row>
    <row r="27" spans="1:32" ht="15" customHeight="1">
      <c r="A27" s="5"/>
      <c r="B27" s="150" t="str">
        <f>HYPERLINK("http://amare-moscow.ru/catalog/pelmeni/pelmeni_rybnye_s_treskoy_i_shpinatom_s_m_don_kreveton_0_4kg_12sht_rossiya/","Пельмени с треской и шпинатом ")</f>
        <v xml:space="preserve">Пельмени с треской и шпинатом </v>
      </c>
      <c r="C27" s="27"/>
      <c r="D27" s="28" t="s">
        <v>69</v>
      </c>
      <c r="E27" s="12" t="s">
        <v>70</v>
      </c>
      <c r="F27" s="29" t="s">
        <v>71</v>
      </c>
      <c r="G27" s="30" t="s">
        <v>19</v>
      </c>
      <c r="H27" s="12" t="s">
        <v>20</v>
      </c>
      <c r="I27" s="13">
        <v>130</v>
      </c>
      <c r="J27" s="30"/>
      <c r="K27" s="30">
        <f t="shared" si="2"/>
        <v>0</v>
      </c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</row>
    <row r="28" spans="1:32" ht="15" customHeight="1">
      <c r="A28" s="5"/>
      <c r="B28" s="150" t="str">
        <f>HYPERLINK("http://amare-moscow.ru/catalog/pelmeni/pelmeni_rybnye_s_tuntsom_zheltoperym_s_m_don_kreveton_0_4kg_12sht_rossiya/","Пельмени с тунцом желтоперым ")</f>
        <v xml:space="preserve">Пельмени с тунцом желтоперым </v>
      </c>
      <c r="C28" s="27"/>
      <c r="D28" s="28" t="s">
        <v>69</v>
      </c>
      <c r="E28" s="12" t="s">
        <v>70</v>
      </c>
      <c r="F28" s="29" t="s">
        <v>71</v>
      </c>
      <c r="G28" s="30" t="s">
        <v>19</v>
      </c>
      <c r="H28" s="12" t="s">
        <v>20</v>
      </c>
      <c r="I28" s="13">
        <v>160</v>
      </c>
      <c r="J28" s="30"/>
      <c r="K28" s="30">
        <f t="shared" si="2"/>
        <v>0</v>
      </c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</row>
    <row r="29" spans="1:32" ht="15" customHeight="1">
      <c r="A29" s="5"/>
      <c r="B29" s="150" t="str">
        <f>HYPERLINK("http://amare-moscow.ru/catalog/pelmeni/pelmeni_rybnye_so_shchukoy_s_m_don_kreveton_0_4kg_12sht_rossiya/","Пельмени со щукой ")</f>
        <v xml:space="preserve">Пельмени со щукой </v>
      </c>
      <c r="C29" s="27"/>
      <c r="D29" s="28" t="s">
        <v>69</v>
      </c>
      <c r="E29" s="12" t="s">
        <v>70</v>
      </c>
      <c r="F29" s="29" t="s">
        <v>71</v>
      </c>
      <c r="G29" s="30" t="s">
        <v>19</v>
      </c>
      <c r="H29" s="12" t="s">
        <v>20</v>
      </c>
      <c r="I29" s="13">
        <v>130</v>
      </c>
      <c r="J29" s="30"/>
      <c r="K29" s="30">
        <f t="shared" si="2"/>
        <v>0</v>
      </c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</row>
    <row r="30" spans="1:32" ht="15" customHeight="1">
      <c r="A30" s="5"/>
      <c r="B30" s="150" t="str">
        <f>HYPERLINK("http://amare-moscow.ru/catalog/pelmeni/pelmeni_rybnye_s_tuntsom_zheltoperym_s_m_don_kreveton_3_kg_rossiya/","Пельмени с тунцом желтоперым ")</f>
        <v xml:space="preserve">Пельмени с тунцом желтоперым </v>
      </c>
      <c r="C30" s="27"/>
      <c r="D30" s="28" t="s">
        <v>21</v>
      </c>
      <c r="E30" s="12" t="s">
        <v>81</v>
      </c>
      <c r="F30" s="29" t="s">
        <v>71</v>
      </c>
      <c r="G30" s="30" t="s">
        <v>19</v>
      </c>
      <c r="H30" s="12" t="s">
        <v>22</v>
      </c>
      <c r="I30" s="13">
        <v>365</v>
      </c>
      <c r="J30" s="30"/>
      <c r="K30" s="30">
        <f t="shared" si="2"/>
        <v>0</v>
      </c>
      <c r="L30" s="341"/>
      <c r="M30" s="341"/>
      <c r="N30" s="341"/>
      <c r="O30" s="341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</row>
    <row r="31" spans="1:32" ht="15" customHeight="1">
      <c r="A31" s="5"/>
      <c r="B31" s="150" t="str">
        <f>HYPERLINK("http://amare-moscow.ru/catalog/pelmeni/pelmeni_rybnye_s_gorbushey_s_m_don_kreveton_3_kg_rossiya/","Пельмени с горбушей")</f>
        <v>Пельмени с горбушей</v>
      </c>
      <c r="C31" s="27"/>
      <c r="D31" s="28" t="s">
        <v>21</v>
      </c>
      <c r="E31" s="12" t="s">
        <v>81</v>
      </c>
      <c r="F31" s="29" t="s">
        <v>71</v>
      </c>
      <c r="G31" s="30" t="s">
        <v>19</v>
      </c>
      <c r="H31" s="12" t="s">
        <v>22</v>
      </c>
      <c r="I31" s="13">
        <v>240</v>
      </c>
      <c r="J31" s="30"/>
      <c r="K31" s="30">
        <f t="shared" si="2"/>
        <v>0</v>
      </c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</row>
    <row r="32" spans="1:32" ht="15" customHeight="1">
      <c r="A32" s="5"/>
      <c r="B32" s="150" t="str">
        <f>HYPERLINK("http://amare-moscow.ru/catalog/pelmeni/pelmeni_rybnye_s_treskoy_i_kalmarom_s_m_don_kreveton_3_kg_rossiya/","Пельмени с треской и кальмаром ")</f>
        <v xml:space="preserve">Пельмени с треской и кальмаром </v>
      </c>
      <c r="C32" s="27"/>
      <c r="D32" s="28" t="s">
        <v>21</v>
      </c>
      <c r="E32" s="12" t="s">
        <v>81</v>
      </c>
      <c r="F32" s="29" t="s">
        <v>71</v>
      </c>
      <c r="G32" s="30" t="s">
        <v>19</v>
      </c>
      <c r="H32" s="12" t="s">
        <v>22</v>
      </c>
      <c r="I32" s="13">
        <v>285</v>
      </c>
      <c r="J32" s="30"/>
      <c r="K32" s="30">
        <f t="shared" si="2"/>
        <v>0</v>
      </c>
      <c r="L32" s="341"/>
      <c r="M32" s="341"/>
      <c r="N32" s="341"/>
      <c r="O32" s="341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</row>
    <row r="33" spans="1:32" ht="15" customHeight="1">
      <c r="A33" s="5"/>
      <c r="B33" s="150" t="str">
        <f>HYPERLINK("http://amare-moscow.ru/catalog/pelmeni/pelmeni_rybnye_s_treskoy_i_shpinatom_s_m_don_kreveton_3_kg_rossiya/","Пельмени с треской и шпинатом")</f>
        <v>Пельмени с треской и шпинатом</v>
      </c>
      <c r="C33" s="27"/>
      <c r="D33" s="28" t="s">
        <v>21</v>
      </c>
      <c r="E33" s="12" t="s">
        <v>81</v>
      </c>
      <c r="F33" s="29" t="s">
        <v>71</v>
      </c>
      <c r="G33" s="30" t="s">
        <v>19</v>
      </c>
      <c r="H33" s="12" t="s">
        <v>22</v>
      </c>
      <c r="I33" s="13">
        <v>285</v>
      </c>
      <c r="J33" s="30"/>
      <c r="K33" s="30">
        <f t="shared" si="2"/>
        <v>0</v>
      </c>
      <c r="L33" s="341"/>
      <c r="M33" s="341"/>
      <c r="N33" s="341"/>
      <c r="O33" s="341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</row>
    <row r="34" spans="1:32" ht="15" customHeight="1">
      <c r="A34" s="5"/>
      <c r="B34" s="150" t="str">
        <f>HYPERLINK("http://amare-moscow.ru/catalog/pelmeni/pelmeni_rybnye_so_shchukoy_s_m_don_kreveton_3_kg_rossiya/","Пельмени со щукой ")</f>
        <v xml:space="preserve">Пельмени со щукой </v>
      </c>
      <c r="C34" s="27"/>
      <c r="D34" s="28" t="s">
        <v>21</v>
      </c>
      <c r="E34" s="12" t="s">
        <v>81</v>
      </c>
      <c r="F34" s="29" t="s">
        <v>71</v>
      </c>
      <c r="G34" s="30" t="s">
        <v>19</v>
      </c>
      <c r="H34" s="12" t="s">
        <v>22</v>
      </c>
      <c r="I34" s="13">
        <v>300</v>
      </c>
      <c r="J34" s="30"/>
      <c r="K34" s="30">
        <f t="shared" si="2"/>
        <v>0</v>
      </c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</row>
    <row r="35" spans="1:32" ht="26.25" customHeight="1">
      <c r="A35" s="20"/>
      <c r="B35" s="200" t="str">
        <f>HYPERLINK("http://www.amare-moscow.ru/catalog/kotlety/","Котлеты рыбные с/м")</f>
        <v>Котлеты рыбные с/м</v>
      </c>
      <c r="C35" s="22"/>
      <c r="D35" s="23" t="s">
        <v>28</v>
      </c>
      <c r="E35" s="23" t="s">
        <v>29</v>
      </c>
      <c r="F35" s="24" t="s">
        <v>30</v>
      </c>
      <c r="G35" s="23" t="s">
        <v>31</v>
      </c>
      <c r="H35" s="25" t="s">
        <v>32</v>
      </c>
      <c r="I35" s="24" t="s">
        <v>33</v>
      </c>
      <c r="J35" s="24" t="s">
        <v>34</v>
      </c>
      <c r="K35" s="23" t="s">
        <v>35</v>
      </c>
      <c r="L35" s="373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</row>
    <row r="36" spans="1:32" ht="15" customHeight="1">
      <c r="A36" s="5"/>
      <c r="B36" s="374" t="s">
        <v>602</v>
      </c>
      <c r="C36" s="76"/>
      <c r="D36" s="77" t="s">
        <v>89</v>
      </c>
      <c r="E36" s="81" t="s">
        <v>90</v>
      </c>
      <c r="F36" s="79" t="s">
        <v>39</v>
      </c>
      <c r="G36" s="80" t="s">
        <v>19</v>
      </c>
      <c r="H36" s="81" t="s">
        <v>20</v>
      </c>
      <c r="I36" s="375">
        <v>75</v>
      </c>
      <c r="J36" s="376"/>
      <c r="K36" s="80">
        <f t="shared" ref="K36:K56" si="3">I36*J36</f>
        <v>0</v>
      </c>
      <c r="L36" s="341"/>
      <c r="M36" s="341"/>
      <c r="N36" s="341"/>
      <c r="O36" s="341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</row>
    <row r="37" spans="1:32" ht="15" customHeight="1">
      <c r="A37" s="5"/>
      <c r="B37" s="150" t="str">
        <f>HYPERLINK("http://amare-moscow.ru/catalog/kotlety/kotlety_iz_kalmara_v_panirovke_s_m_don_kreveton_0_3kg_16_sht_rossiya/","Котлеты из кальмара в панировке")</f>
        <v>Котлеты из кальмара в панировке</v>
      </c>
      <c r="C37" s="27"/>
      <c r="D37" s="28" t="s">
        <v>89</v>
      </c>
      <c r="E37" s="12" t="s">
        <v>90</v>
      </c>
      <c r="F37" s="29" t="s">
        <v>39</v>
      </c>
      <c r="G37" s="30" t="s">
        <v>19</v>
      </c>
      <c r="H37" s="12" t="s">
        <v>20</v>
      </c>
      <c r="I37" s="13">
        <v>120</v>
      </c>
      <c r="J37" s="30"/>
      <c r="K37" s="30">
        <f t="shared" si="3"/>
        <v>0</v>
      </c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</row>
    <row r="38" spans="1:32" ht="15" customHeight="1">
      <c r="A38" s="5"/>
      <c r="B38" s="150" t="str">
        <f>HYPERLINK("http://amare-moscow.ru/catalog/kotlety/kotlety_rybnye_iz_lososya_v_panirovke_s_m_don_kreveton_0_3kg_16_sht_rossiya/","Котлеты из лосося в панировке")</f>
        <v>Котлеты из лосося в панировке</v>
      </c>
      <c r="C38" s="27"/>
      <c r="D38" s="28" t="s">
        <v>89</v>
      </c>
      <c r="E38" s="12" t="s">
        <v>90</v>
      </c>
      <c r="F38" s="29" t="s">
        <v>39</v>
      </c>
      <c r="G38" s="30" t="s">
        <v>19</v>
      </c>
      <c r="H38" s="12" t="s">
        <v>20</v>
      </c>
      <c r="I38" s="13">
        <v>100</v>
      </c>
      <c r="J38" s="30"/>
      <c r="K38" s="30">
        <f t="shared" si="3"/>
        <v>0</v>
      </c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</row>
    <row r="39" spans="1:32" ht="15" customHeight="1">
      <c r="A39" s="5"/>
      <c r="B39" s="150" t="str">
        <f>HYPERLINK("http://amare-moscow.ru/catalog/kotlety/kotlety_rybnye_iz_sudaka_v_panirovke_s_m_don_kreveton_0_3kg_16_sht_rossiya/","Котлеты из судака в панировке")</f>
        <v>Котлеты из судака в панировке</v>
      </c>
      <c r="C39" s="27"/>
      <c r="D39" s="28" t="s">
        <v>89</v>
      </c>
      <c r="E39" s="12" t="s">
        <v>90</v>
      </c>
      <c r="F39" s="29" t="s">
        <v>39</v>
      </c>
      <c r="G39" s="30" t="s">
        <v>19</v>
      </c>
      <c r="H39" s="12" t="s">
        <v>20</v>
      </c>
      <c r="I39" s="13">
        <v>120</v>
      </c>
      <c r="J39" s="30"/>
      <c r="K39" s="30">
        <f t="shared" si="3"/>
        <v>0</v>
      </c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  <c r="AC39" s="341"/>
      <c r="AD39" s="341"/>
      <c r="AE39" s="341"/>
      <c r="AF39" s="341"/>
    </row>
    <row r="40" spans="1:32" ht="15" customHeight="1">
      <c r="A40" s="5"/>
      <c r="B40" s="150" t="str">
        <f>HYPERLINK("http://amare-moscow.ru/catalog/kotlety/kotlety_rybnye_iz_kheka_v_panirovke_s_m_don_kreveton_0_3kg_16_sht_rossiya/","Котлеты из хека в панировке")</f>
        <v>Котлеты из хека в панировке</v>
      </c>
      <c r="C40" s="27"/>
      <c r="D40" s="28" t="s">
        <v>89</v>
      </c>
      <c r="E40" s="12" t="s">
        <v>90</v>
      </c>
      <c r="F40" s="29" t="s">
        <v>39</v>
      </c>
      <c r="G40" s="30" t="s">
        <v>19</v>
      </c>
      <c r="H40" s="12" t="s">
        <v>20</v>
      </c>
      <c r="I40" s="13">
        <v>120</v>
      </c>
      <c r="J40" s="30"/>
      <c r="K40" s="30">
        <f t="shared" si="3"/>
        <v>0</v>
      </c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1"/>
      <c r="AD40" s="341"/>
      <c r="AE40" s="341"/>
      <c r="AF40" s="341"/>
    </row>
    <row r="41" spans="1:32" ht="15" customHeight="1">
      <c r="A41" s="5"/>
      <c r="B41" s="150" t="str">
        <f>HYPERLINK("http://amare-moscow.ru/catalog/kotlety/kotlety_rybnye_iz_treski_v_panirovke_s_m_don_kreveton_0_3kg_16_sht_rossiya/","Котлеты рыбные из трески в панировке ")</f>
        <v xml:space="preserve">Котлеты рыбные из трески в панировке </v>
      </c>
      <c r="C41" s="27"/>
      <c r="D41" s="28" t="s">
        <v>89</v>
      </c>
      <c r="E41" s="12" t="s">
        <v>90</v>
      </c>
      <c r="F41" s="29" t="s">
        <v>39</v>
      </c>
      <c r="G41" s="30" t="s">
        <v>19</v>
      </c>
      <c r="H41" s="12" t="s">
        <v>20</v>
      </c>
      <c r="I41" s="13">
        <v>100</v>
      </c>
      <c r="J41" s="30"/>
      <c r="K41" s="30">
        <f t="shared" si="3"/>
        <v>0</v>
      </c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</row>
    <row r="42" spans="1:32" ht="15" customHeight="1">
      <c r="A42" s="5"/>
      <c r="B42" s="150" t="str">
        <f>HYPERLINK("http://amare-moscow.ru/catalog/kotlety/kotlety_rybnye_iz_treski_i_morskoy_kapusty_v_panirovke_s_m_don_kreveton_0_3kg_16_sht_rossiya/","Котлеты из трески и морской капусты в панировке")</f>
        <v>Котлеты из трески и морской капусты в панировке</v>
      </c>
      <c r="C42" s="27"/>
      <c r="D42" s="28" t="s">
        <v>89</v>
      </c>
      <c r="E42" s="12" t="s">
        <v>90</v>
      </c>
      <c r="F42" s="29" t="s">
        <v>39</v>
      </c>
      <c r="G42" s="30" t="s">
        <v>19</v>
      </c>
      <c r="H42" s="12" t="s">
        <v>20</v>
      </c>
      <c r="I42" s="13">
        <v>120</v>
      </c>
      <c r="J42" s="30"/>
      <c r="K42" s="30">
        <f t="shared" si="3"/>
        <v>0</v>
      </c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</row>
    <row r="43" spans="1:32" ht="15" customHeight="1">
      <c r="A43" s="5"/>
      <c r="B43" s="150" t="str">
        <f>HYPERLINK("http://amare-moscow.ru/catalog/kotlety/kotlety_rybnye_iz_treski_s_paltusom_v_panirovke_s_m_don_kreveton_0_3kg_16_sht_rossiya/","Котлеты из трески с палтусом в панировке")</f>
        <v>Котлеты из трески с палтусом в панировке</v>
      </c>
      <c r="C43" s="27"/>
      <c r="D43" s="28" t="s">
        <v>89</v>
      </c>
      <c r="E43" s="12" t="s">
        <v>90</v>
      </c>
      <c r="F43" s="29" t="s">
        <v>39</v>
      </c>
      <c r="G43" s="30" t="s">
        <v>19</v>
      </c>
      <c r="H43" s="12" t="s">
        <v>20</v>
      </c>
      <c r="I43" s="13">
        <v>115</v>
      </c>
      <c r="J43" s="30"/>
      <c r="K43" s="30">
        <f t="shared" si="3"/>
        <v>0</v>
      </c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</row>
    <row r="44" spans="1:32" ht="15" customHeight="1">
      <c r="A44" s="5"/>
      <c r="B44" s="150" t="str">
        <f>HYPERLINK("http://amare-moscow.ru/catalog/kotlety/kotlety_rybnye_iz_treski_c_krevetkoy_v_panirovke_s_m_don_kreveton_0_3kg_16_sht_rossiya/","Котлеты из трески с креветкой в панировке")</f>
        <v>Котлеты из трески с креветкой в панировке</v>
      </c>
      <c r="C44" s="27"/>
      <c r="D44" s="28" t="s">
        <v>89</v>
      </c>
      <c r="E44" s="12" t="s">
        <v>90</v>
      </c>
      <c r="F44" s="29" t="s">
        <v>39</v>
      </c>
      <c r="G44" s="30" t="s">
        <v>19</v>
      </c>
      <c r="H44" s="12" t="s">
        <v>20</v>
      </c>
      <c r="I44" s="13">
        <v>150</v>
      </c>
      <c r="J44" s="30"/>
      <c r="K44" s="30">
        <f t="shared" si="3"/>
        <v>0</v>
      </c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1"/>
      <c r="AD44" s="341"/>
      <c r="AE44" s="341"/>
      <c r="AF44" s="341"/>
    </row>
    <row r="45" spans="1:32" ht="15" customHeight="1">
      <c r="A45" s="5"/>
      <c r="B45" s="150" t="str">
        <f>HYPERLINK("http://amare-moscow.ru/catalog/kotlety/kotlety_rybnye_iz_treski_so_shpinatom_v_panirovke_s_m_don_kreveton_0_3kg_16_sht_rossiya/","Котлеты из трески со шпинатом в панировке ")</f>
        <v xml:space="preserve">Котлеты из трески со шпинатом в панировке </v>
      </c>
      <c r="C45" s="27"/>
      <c r="D45" s="28" t="s">
        <v>89</v>
      </c>
      <c r="E45" s="12" t="s">
        <v>90</v>
      </c>
      <c r="F45" s="29" t="s">
        <v>39</v>
      </c>
      <c r="G45" s="30" t="s">
        <v>19</v>
      </c>
      <c r="H45" s="12" t="s">
        <v>20</v>
      </c>
      <c r="I45" s="13">
        <v>100</v>
      </c>
      <c r="J45" s="30"/>
      <c r="K45" s="30">
        <f t="shared" si="3"/>
        <v>0</v>
      </c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1"/>
      <c r="AD45" s="341"/>
      <c r="AE45" s="341"/>
      <c r="AF45" s="341"/>
    </row>
    <row r="46" spans="1:32" ht="15" customHeight="1">
      <c r="A46" s="5"/>
      <c r="B46" s="150" t="str">
        <f>HYPERLINK("http://amare-moscow.ru/catalog/kotlety/kotlety_rybnye_iz_tuntsa_v_panirovke_s_m_don_kreveton_0_3kg_16_sht_rossiya/","Котлеты из тунца в панировке ")</f>
        <v xml:space="preserve">Котлеты из тунца в панировке </v>
      </c>
      <c r="C46" s="27"/>
      <c r="D46" s="28" t="s">
        <v>89</v>
      </c>
      <c r="E46" s="12" t="s">
        <v>90</v>
      </c>
      <c r="F46" s="29" t="s">
        <v>39</v>
      </c>
      <c r="G46" s="30" t="s">
        <v>19</v>
      </c>
      <c r="H46" s="12" t="s">
        <v>20</v>
      </c>
      <c r="I46" s="13">
        <v>140</v>
      </c>
      <c r="J46" s="30"/>
      <c r="K46" s="30">
        <f t="shared" si="3"/>
        <v>0</v>
      </c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1"/>
      <c r="AD46" s="341"/>
      <c r="AE46" s="341"/>
      <c r="AF46" s="341"/>
    </row>
    <row r="47" spans="1:32" ht="15" customHeight="1">
      <c r="A47" s="5"/>
      <c r="B47" s="150" t="str">
        <f>HYPERLINK("http://amare-moscow.ru/catalog/kotlety/kotlety_rybnye_iz_shchuki_v_panirovke_s_m_don_kreveton_0_3kg_16_sht_rossiya/","Котлеты из щуки в панировке ")</f>
        <v xml:space="preserve">Котлеты из щуки в панировке </v>
      </c>
      <c r="C47" s="27"/>
      <c r="D47" s="28" t="s">
        <v>89</v>
      </c>
      <c r="E47" s="12" t="s">
        <v>90</v>
      </c>
      <c r="F47" s="29" t="s">
        <v>39</v>
      </c>
      <c r="G47" s="30" t="s">
        <v>19</v>
      </c>
      <c r="H47" s="12" t="s">
        <v>20</v>
      </c>
      <c r="I47" s="13">
        <v>120</v>
      </c>
      <c r="J47" s="30"/>
      <c r="K47" s="30">
        <f t="shared" si="3"/>
        <v>0</v>
      </c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1"/>
      <c r="AD47" s="341"/>
      <c r="AE47" s="341"/>
      <c r="AF47" s="341"/>
    </row>
    <row r="48" spans="1:32" ht="15" customHeight="1">
      <c r="A48" s="5"/>
      <c r="B48" s="150" t="str">
        <f>HYPERLINK("http://amare-moscow.ru/catalog/kotlety/kotlety_rybnye_iz_treski_s_kalmarom_v_panirovke_s_m_don_kreveton_0_3kg_16_sht_rossiya/","Котлеты из трески с кальмаром в панировке")</f>
        <v>Котлеты из трески с кальмаром в панировке</v>
      </c>
      <c r="C48" s="27"/>
      <c r="D48" s="28" t="s">
        <v>89</v>
      </c>
      <c r="E48" s="12" t="s">
        <v>90</v>
      </c>
      <c r="F48" s="29" t="s">
        <v>39</v>
      </c>
      <c r="G48" s="30" t="s">
        <v>19</v>
      </c>
      <c r="H48" s="12" t="s">
        <v>20</v>
      </c>
      <c r="I48" s="13">
        <v>100</v>
      </c>
      <c r="J48" s="30"/>
      <c r="K48" s="30">
        <f t="shared" si="3"/>
        <v>0</v>
      </c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1"/>
      <c r="AD48" s="341"/>
      <c r="AE48" s="341"/>
      <c r="AF48" s="341"/>
    </row>
    <row r="49" spans="1:32" ht="15" customHeight="1">
      <c r="A49" s="5"/>
      <c r="B49" s="374" t="s">
        <v>603</v>
      </c>
      <c r="C49" s="76"/>
      <c r="D49" s="77" t="s">
        <v>604</v>
      </c>
      <c r="E49" s="81" t="s">
        <v>90</v>
      </c>
      <c r="F49" s="79" t="s">
        <v>39</v>
      </c>
      <c r="G49" s="80" t="s">
        <v>19</v>
      </c>
      <c r="H49" s="81" t="s">
        <v>20</v>
      </c>
      <c r="I49" s="82">
        <v>180</v>
      </c>
      <c r="J49" s="80"/>
      <c r="K49" s="80">
        <f t="shared" si="3"/>
        <v>0</v>
      </c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</row>
    <row r="50" spans="1:32" ht="15" customHeight="1">
      <c r="A50" s="5"/>
      <c r="B50" s="156" t="s">
        <v>602</v>
      </c>
      <c r="C50" s="27"/>
      <c r="D50" s="28" t="s">
        <v>26</v>
      </c>
      <c r="E50" s="12" t="s">
        <v>81</v>
      </c>
      <c r="F50" s="29" t="s">
        <v>39</v>
      </c>
      <c r="G50" s="30" t="s">
        <v>19</v>
      </c>
      <c r="H50" s="12" t="s">
        <v>22</v>
      </c>
      <c r="I50" s="13">
        <v>140</v>
      </c>
      <c r="J50" s="30"/>
      <c r="K50" s="30">
        <f t="shared" si="3"/>
        <v>0</v>
      </c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</row>
    <row r="51" spans="1:32" ht="15" customHeight="1">
      <c r="A51" s="5"/>
      <c r="B51" s="150" t="str">
        <f>HYPERLINK("http://amare-moscow.ru/catalog/kotlety/kotlety_rybnye_iz_shchuki_v_panirovke_s_m_don_kreveton_0_3kg_16_sht_rossiya/","Котлеты из щуки в панировке")</f>
        <v>Котлеты из щуки в панировке</v>
      </c>
      <c r="C51" s="27"/>
      <c r="D51" s="28" t="s">
        <v>26</v>
      </c>
      <c r="E51" s="12" t="s">
        <v>81</v>
      </c>
      <c r="F51" s="29" t="s">
        <v>39</v>
      </c>
      <c r="G51" s="30" t="s">
        <v>19</v>
      </c>
      <c r="H51" s="12" t="s">
        <v>22</v>
      </c>
      <c r="I51" s="13">
        <v>355</v>
      </c>
      <c r="J51" s="30"/>
      <c r="K51" s="30">
        <f t="shared" si="3"/>
        <v>0</v>
      </c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</row>
    <row r="52" spans="1:32" ht="15" customHeight="1">
      <c r="A52" s="5"/>
      <c r="B52" s="150" t="str">
        <f>HYPERLINK("http://www.amare-moscow.ru/catalog/kotlety/kotlety_lososevye_keta_s_m_don_kreveton_4_kg_rossiya/","Котлеты лососевые (кета) в панировке")</f>
        <v>Котлеты лососевые (кета) в панировке</v>
      </c>
      <c r="C52" s="27"/>
      <c r="D52" s="28" t="s">
        <v>26</v>
      </c>
      <c r="E52" s="12" t="s">
        <v>81</v>
      </c>
      <c r="F52" s="29" t="s">
        <v>39</v>
      </c>
      <c r="G52" s="30" t="s">
        <v>19</v>
      </c>
      <c r="H52" s="12" t="s">
        <v>22</v>
      </c>
      <c r="I52" s="13">
        <v>180</v>
      </c>
      <c r="J52" s="30"/>
      <c r="K52" s="30">
        <f t="shared" si="3"/>
        <v>0</v>
      </c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</row>
    <row r="53" spans="1:32" ht="15" customHeight="1">
      <c r="A53" s="5"/>
      <c r="B53" s="150" t="str">
        <f>HYPERLINK("http://amare-moscow.ru/catalog/kotlety/kotlety_rybnye_iz_treski_s_kalmarom_v_panirovke_s_m_don_kreveton_4_kg_rossiya/","Котлеты из трески с кальмаром в панировке")</f>
        <v>Котлеты из трески с кальмаром в панировке</v>
      </c>
      <c r="C53" s="27"/>
      <c r="D53" s="28" t="s">
        <v>26</v>
      </c>
      <c r="E53" s="12" t="s">
        <v>81</v>
      </c>
      <c r="F53" s="29" t="s">
        <v>39</v>
      </c>
      <c r="G53" s="30" t="s">
        <v>19</v>
      </c>
      <c r="H53" s="12" t="s">
        <v>22</v>
      </c>
      <c r="I53" s="13">
        <v>265</v>
      </c>
      <c r="J53" s="30"/>
      <c r="K53" s="30">
        <f t="shared" si="3"/>
        <v>0</v>
      </c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</row>
    <row r="54" spans="1:32" ht="15" customHeight="1">
      <c r="A54" s="5"/>
      <c r="B54" s="150" t="str">
        <f>HYPERLINK("http://amare-moscow.ru/catalog/kotlety/kotlety_rybnye_iz_treski_so_shpinatom_v_panirovke_s_m_don_kreveton_4_kg_rossiya/","Котлеты из трески со шпинатом в панировке ")</f>
        <v xml:space="preserve">Котлеты из трески со шпинатом в панировке </v>
      </c>
      <c r="C54" s="27"/>
      <c r="D54" s="28" t="s">
        <v>26</v>
      </c>
      <c r="E54" s="12" t="s">
        <v>81</v>
      </c>
      <c r="F54" s="29" t="s">
        <v>39</v>
      </c>
      <c r="G54" s="30" t="s">
        <v>19</v>
      </c>
      <c r="H54" s="12" t="s">
        <v>22</v>
      </c>
      <c r="I54" s="13">
        <v>220</v>
      </c>
      <c r="J54" s="30"/>
      <c r="K54" s="30">
        <f t="shared" si="3"/>
        <v>0</v>
      </c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</row>
    <row r="55" spans="1:32" ht="15" customHeight="1">
      <c r="A55" s="5"/>
      <c r="B55" s="150" t="str">
        <f>HYPERLINK("http://www.amare-moscow.ru/catalog/kotlety/kotlety_rybnye_iz_tuntsa_v_panirovke_s_m_don_kreveton_4_kg_rossiya/","Котлеты из тунца в панировке ")</f>
        <v xml:space="preserve">Котлеты из тунца в панировке </v>
      </c>
      <c r="C55" s="27"/>
      <c r="D55" s="28" t="s">
        <v>26</v>
      </c>
      <c r="E55" s="12" t="s">
        <v>81</v>
      </c>
      <c r="F55" s="29" t="s">
        <v>39</v>
      </c>
      <c r="G55" s="30" t="s">
        <v>19</v>
      </c>
      <c r="H55" s="12" t="s">
        <v>22</v>
      </c>
      <c r="I55" s="13">
        <v>360</v>
      </c>
      <c r="J55" s="30"/>
      <c r="K55" s="30">
        <f t="shared" si="3"/>
        <v>0</v>
      </c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</row>
    <row r="56" spans="1:32" ht="15" customHeight="1">
      <c r="A56" s="5"/>
      <c r="B56" s="163" t="str">
        <f>HYPERLINK("http://www.amare-moscow.ru/catalog/kotlety/kotlety_treskovye_s_m_don_kreveton_4_kg_rossiya/","Котлеты тресковые в панировке ")</f>
        <v xml:space="preserve">Котлеты тресковые в панировке </v>
      </c>
      <c r="C56" s="56"/>
      <c r="D56" s="57" t="s">
        <v>26</v>
      </c>
      <c r="E56" s="135" t="s">
        <v>81</v>
      </c>
      <c r="F56" s="59" t="s">
        <v>39</v>
      </c>
      <c r="G56" s="60" t="s">
        <v>19</v>
      </c>
      <c r="H56" s="135" t="s">
        <v>22</v>
      </c>
      <c r="I56" s="136">
        <v>220</v>
      </c>
      <c r="J56" s="60"/>
      <c r="K56" s="60">
        <f t="shared" si="3"/>
        <v>0</v>
      </c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</row>
    <row r="57" spans="1:32" ht="26.25" customHeight="1">
      <c r="A57" s="20"/>
      <c r="B57" s="21" t="str">
        <f>HYPERLINK("http://www.amare-moscow.ru/catalog/kotlety/","Котлеты овощные с/м")</f>
        <v>Котлеты овощные с/м</v>
      </c>
      <c r="C57" s="22"/>
      <c r="D57" s="23" t="s">
        <v>28</v>
      </c>
      <c r="E57" s="23" t="s">
        <v>29</v>
      </c>
      <c r="F57" s="24" t="s">
        <v>30</v>
      </c>
      <c r="G57" s="23" t="s">
        <v>31</v>
      </c>
      <c r="H57" s="25" t="s">
        <v>32</v>
      </c>
      <c r="I57" s="24" t="s">
        <v>33</v>
      </c>
      <c r="J57" s="24" t="s">
        <v>34</v>
      </c>
      <c r="K57" s="23" t="s">
        <v>35</v>
      </c>
      <c r="L57" s="373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</row>
    <row r="58" spans="1:32" ht="15" customHeight="1">
      <c r="A58" s="5"/>
      <c r="B58" s="150" t="str">
        <f>HYPERLINK("http://www.amare-moscow.ru/catalog/prochie_polufabrikaty/kotlety_iz_morskoy_kapusty_so_shpinatom_morozhenye_don_kreveton_0_3kg_6_sht_rossiya/","Котлеты из морской капусты со шпинатом")</f>
        <v>Котлеты из морской капусты со шпинатом</v>
      </c>
      <c r="C58" s="27"/>
      <c r="D58" s="28" t="s">
        <v>37</v>
      </c>
      <c r="E58" s="12" t="s">
        <v>38</v>
      </c>
      <c r="F58" s="29" t="s">
        <v>39</v>
      </c>
      <c r="G58" s="30" t="s">
        <v>19</v>
      </c>
      <c r="H58" s="12" t="s">
        <v>20</v>
      </c>
      <c r="I58" s="13">
        <v>100</v>
      </c>
      <c r="J58" s="30"/>
      <c r="K58" s="30">
        <f>I58*J58</f>
        <v>0</v>
      </c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</row>
    <row r="59" spans="1:32" ht="26.25" customHeight="1">
      <c r="A59" s="20"/>
      <c r="B59" s="200" t="str">
        <f>HYPERLINK("http://amare-moscow.ru/catalog/kotlety_okhlazhdennye_/","Котлеты рыбные охлажденные ")</f>
        <v xml:space="preserve">Котлеты рыбные охлажденные </v>
      </c>
      <c r="C59" s="22"/>
      <c r="D59" s="23" t="s">
        <v>28</v>
      </c>
      <c r="E59" s="23" t="s">
        <v>29</v>
      </c>
      <c r="F59" s="24" t="s">
        <v>30</v>
      </c>
      <c r="G59" s="23" t="s">
        <v>31</v>
      </c>
      <c r="H59" s="25" t="s">
        <v>32</v>
      </c>
      <c r="I59" s="24" t="s">
        <v>33</v>
      </c>
      <c r="J59" s="24" t="s">
        <v>34</v>
      </c>
      <c r="K59" s="23" t="s">
        <v>35</v>
      </c>
      <c r="L59" s="373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</row>
    <row r="60" spans="1:32" ht="15" customHeight="1">
      <c r="A60" s="5"/>
      <c r="B60" s="150" t="str">
        <f>HYPERLINK("http://www.amare-moscow.ru/catalog/kotlety_okhlazhdennye_/kotlety_iz_treski_v_panirovke_okhl_don_kreveton_0_3kg_6_sht_rossiya/","Котлеты из трески в панировке")</f>
        <v>Котлеты из трески в панировке</v>
      </c>
      <c r="C60" s="27"/>
      <c r="D60" s="28" t="s">
        <v>605</v>
      </c>
      <c r="E60" s="12" t="s">
        <v>204</v>
      </c>
      <c r="F60" s="29" t="s">
        <v>606</v>
      </c>
      <c r="G60" s="30" t="s">
        <v>19</v>
      </c>
      <c r="H60" s="13" t="s">
        <v>20</v>
      </c>
      <c r="I60" s="13">
        <v>120</v>
      </c>
      <c r="J60" s="30"/>
      <c r="K60" s="30">
        <f>I60*J60</f>
        <v>0</v>
      </c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</row>
    <row r="61" spans="1:32" ht="15" customHeight="1">
      <c r="A61" s="5"/>
      <c r="B61" s="150" t="str">
        <f>HYPERLINK("http://www.amare-moscow.ru/catalog/kotlety_okhlazhdennye_/kotlety_rybnye_iz_shchuki_v_panirovke_okhl_don_kreveton_0_3kg_6_sht_rossiya/","Котлеты из щуки в панировке")</f>
        <v>Котлеты из щуки в панировке</v>
      </c>
      <c r="C61" s="27"/>
      <c r="D61" s="28" t="s">
        <v>605</v>
      </c>
      <c r="E61" s="12" t="s">
        <v>204</v>
      </c>
      <c r="F61" s="29" t="s">
        <v>606</v>
      </c>
      <c r="G61" s="30" t="s">
        <v>19</v>
      </c>
      <c r="H61" s="13" t="s">
        <v>20</v>
      </c>
      <c r="I61" s="13" t="s">
        <v>143</v>
      </c>
      <c r="J61" s="30"/>
      <c r="K61" s="30">
        <v>0</v>
      </c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</row>
    <row r="62" spans="1:32" ht="15" customHeight="1">
      <c r="A62" s="5"/>
      <c r="B62" s="156" t="s">
        <v>607</v>
      </c>
      <c r="C62" s="27"/>
      <c r="D62" s="28" t="s">
        <v>605</v>
      </c>
      <c r="E62" s="12" t="s">
        <v>204</v>
      </c>
      <c r="F62" s="29" t="s">
        <v>606</v>
      </c>
      <c r="G62" s="30" t="s">
        <v>19</v>
      </c>
      <c r="H62" s="13" t="s">
        <v>20</v>
      </c>
      <c r="I62" s="13">
        <v>200</v>
      </c>
      <c r="J62" s="30"/>
      <c r="K62" s="30">
        <v>0</v>
      </c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</row>
    <row r="63" spans="1:32" ht="15" customHeight="1">
      <c r="A63" s="5"/>
      <c r="B63" s="150" t="str">
        <f>HYPERLINK("http://www.amare-moscow.ru/catalog/kotlety_okhlazhdennye_/kotlety_rybnye_iz_tuntsa_v_panirovke_okhl_don_kreveton_0_3kg_4_sht_rossiya/","Котлеты из тунца")</f>
        <v>Котлеты из тунца</v>
      </c>
      <c r="C63" s="27"/>
      <c r="D63" s="28" t="s">
        <v>605</v>
      </c>
      <c r="E63" s="12" t="s">
        <v>204</v>
      </c>
      <c r="F63" s="29" t="s">
        <v>608</v>
      </c>
      <c r="G63" s="30" t="s">
        <v>19</v>
      </c>
      <c r="H63" s="13" t="s">
        <v>20</v>
      </c>
      <c r="I63" s="13" t="s">
        <v>143</v>
      </c>
      <c r="J63" s="30"/>
      <c r="K63" s="30">
        <v>0</v>
      </c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</row>
    <row r="64" spans="1:32" ht="26.25" customHeight="1">
      <c r="A64" s="20"/>
      <c r="B64" s="200" t="str">
        <f>HYPERLINK("http://amare-moscow.ru/catalog/prochie_polufabrikaty/","Фрикадельки рыбные с/м")</f>
        <v>Фрикадельки рыбные с/м</v>
      </c>
      <c r="C64" s="22"/>
      <c r="D64" s="23" t="s">
        <v>28</v>
      </c>
      <c r="E64" s="23" t="s">
        <v>29</v>
      </c>
      <c r="F64" s="24" t="s">
        <v>30</v>
      </c>
      <c r="G64" s="23" t="s">
        <v>31</v>
      </c>
      <c r="H64" s="25" t="s">
        <v>32</v>
      </c>
      <c r="I64" s="24" t="s">
        <v>33</v>
      </c>
      <c r="J64" s="24" t="s">
        <v>34</v>
      </c>
      <c r="K64" s="23" t="s">
        <v>35</v>
      </c>
      <c r="L64" s="373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</row>
    <row r="65" spans="1:32" ht="15" customHeight="1">
      <c r="A65" s="5"/>
      <c r="B65" s="150" t="str">
        <f>HYPERLINK("http://amare-moscow.ru/catalog/prochie_polufabrikaty/frikadelki_rybnye_iz_treski_s_m_don_kreveton_0_5_kg_10_sht_rossiya/","Фрикадельки из трески с/м ")</f>
        <v xml:space="preserve">Фрикадельки из трески с/м </v>
      </c>
      <c r="C65" s="27"/>
      <c r="D65" s="28" t="s">
        <v>609</v>
      </c>
      <c r="E65" s="377" t="s">
        <v>610</v>
      </c>
      <c r="F65" s="29" t="s">
        <v>39</v>
      </c>
      <c r="G65" s="30" t="s">
        <v>19</v>
      </c>
      <c r="H65" s="12" t="s">
        <v>20</v>
      </c>
      <c r="I65" s="13">
        <v>180</v>
      </c>
      <c r="J65" s="30"/>
      <c r="K65" s="30">
        <f t="shared" ref="K65:K68" si="4">I65*J65</f>
        <v>0</v>
      </c>
      <c r="L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</row>
    <row r="66" spans="1:32" ht="15" customHeight="1">
      <c r="A66" s="5"/>
      <c r="B66" s="150" t="str">
        <f>HYPERLINK("http://amare-moscow.ru/catalog/prochie_polufabrikaty/frikadelki_rybnye_iz_tuntsa_s_m_don_kreveton_0_5_kg_10_sht_rossiya/","Фрикадельки из тунца с/м ")</f>
        <v xml:space="preserve">Фрикадельки из тунца с/м </v>
      </c>
      <c r="C66" s="27"/>
      <c r="D66" s="28" t="s">
        <v>609</v>
      </c>
      <c r="E66" s="377" t="s">
        <v>610</v>
      </c>
      <c r="F66" s="29" t="s">
        <v>39</v>
      </c>
      <c r="G66" s="30" t="s">
        <v>19</v>
      </c>
      <c r="H66" s="12" t="s">
        <v>20</v>
      </c>
      <c r="I66" s="13">
        <v>240</v>
      </c>
      <c r="J66" s="30"/>
      <c r="K66" s="30">
        <f t="shared" si="4"/>
        <v>0</v>
      </c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</row>
    <row r="67" spans="1:32" ht="15" customHeight="1">
      <c r="A67" s="5"/>
      <c r="B67" s="150" t="str">
        <f>HYPERLINK("http://amare-moscow.ru/catalog/prochie_polufabrikaty/frikadelki_rybnye_iz_gorbushi_s_m_don_kreveton_5_kg_rossiya/","Фрикадельки из горбуши с/м")</f>
        <v>Фрикадельки из горбуши с/м</v>
      </c>
      <c r="C67" s="27"/>
      <c r="D67" s="28" t="s">
        <v>609</v>
      </c>
      <c r="E67" s="377" t="s">
        <v>610</v>
      </c>
      <c r="F67" s="29" t="s">
        <v>39</v>
      </c>
      <c r="G67" s="30" t="s">
        <v>19</v>
      </c>
      <c r="H67" s="12" t="s">
        <v>20</v>
      </c>
      <c r="I67" s="13">
        <v>210</v>
      </c>
      <c r="J67" s="30"/>
      <c r="K67" s="30">
        <f t="shared" si="4"/>
        <v>0</v>
      </c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</row>
    <row r="68" spans="1:32" ht="15" customHeight="1">
      <c r="A68" s="5"/>
      <c r="B68" s="150" t="str">
        <f>HYPERLINK("http://amare-moscow.ru/catalog/prochie_polufabrikaty/frikadelki_rybnye_iz_shchuki_s_m_don_kreveton_0_5_kg_10_sht_rossiya_1/","Фрикадельки  из щуки с/м")</f>
        <v>Фрикадельки  из щуки с/м</v>
      </c>
      <c r="C68" s="27"/>
      <c r="D68" s="28" t="s">
        <v>609</v>
      </c>
      <c r="E68" s="377" t="s">
        <v>610</v>
      </c>
      <c r="F68" s="29" t="s">
        <v>39</v>
      </c>
      <c r="G68" s="30" t="s">
        <v>19</v>
      </c>
      <c r="H68" s="12" t="s">
        <v>20</v>
      </c>
      <c r="I68" s="13">
        <v>190</v>
      </c>
      <c r="J68" s="30"/>
      <c r="K68" s="30">
        <f t="shared" si="4"/>
        <v>0</v>
      </c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</row>
    <row r="69" spans="1:32" ht="26.25" customHeight="1">
      <c r="A69" s="20"/>
      <c r="B69" s="200" t="str">
        <f>HYPERLINK("http://amare-moscow.ru/catalog/gotovye_blyuda/","Японские салаты")</f>
        <v>Японские салаты</v>
      </c>
      <c r="C69" s="22"/>
      <c r="D69" s="23" t="s">
        <v>28</v>
      </c>
      <c r="E69" s="23" t="s">
        <v>29</v>
      </c>
      <c r="F69" s="24" t="s">
        <v>30</v>
      </c>
      <c r="G69" s="23" t="s">
        <v>31</v>
      </c>
      <c r="H69" s="25" t="s">
        <v>32</v>
      </c>
      <c r="I69" s="24" t="s">
        <v>33</v>
      </c>
      <c r="J69" s="24" t="s">
        <v>34</v>
      </c>
      <c r="K69" s="23" t="s">
        <v>35</v>
      </c>
      <c r="L69" s="373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</row>
    <row r="70" spans="1:32" ht="15" customHeight="1">
      <c r="A70" s="5"/>
      <c r="B70" s="150" t="str">
        <f>HYPERLINK("http://amare-moscow.ru/catalog/gotovye_blyuda/salat_iz_grebeshka_don_kreveton_0_2kg_6_sht_rossiya/","Салат из гребешка ")</f>
        <v xml:space="preserve">Салат из гребешка </v>
      </c>
      <c r="C70" s="27"/>
      <c r="D70" s="28" t="s">
        <v>611</v>
      </c>
      <c r="E70" s="12"/>
      <c r="F70" s="29" t="s">
        <v>612</v>
      </c>
      <c r="G70" s="30" t="s">
        <v>19</v>
      </c>
      <c r="H70" s="13" t="s">
        <v>20</v>
      </c>
      <c r="I70" s="13">
        <v>180</v>
      </c>
      <c r="J70" s="30"/>
      <c r="K70" s="30">
        <f t="shared" ref="K70:K79" si="5">I70*J70</f>
        <v>0</v>
      </c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</row>
    <row r="71" spans="1:32" ht="15" customHeight="1">
      <c r="A71" s="5"/>
      <c r="B71" s="150" t="str">
        <f>HYPERLINK("http://amare-moscow.ru/catalog/gotovye_blyuda/salat_iz_kalmara_don_kreveton_0_2kg_6_sht_rossiya/","Салат из кальмара ")</f>
        <v xml:space="preserve">Салат из кальмара </v>
      </c>
      <c r="C71" s="27"/>
      <c r="D71" s="28" t="s">
        <v>611</v>
      </c>
      <c r="E71" s="12"/>
      <c r="F71" s="29" t="s">
        <v>612</v>
      </c>
      <c r="G71" s="30" t="s">
        <v>19</v>
      </c>
      <c r="H71" s="13" t="s">
        <v>20</v>
      </c>
      <c r="I71" s="13">
        <v>200</v>
      </c>
      <c r="J71" s="30"/>
      <c r="K71" s="30">
        <f t="shared" si="5"/>
        <v>0</v>
      </c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</row>
    <row r="72" spans="1:32" ht="15" customHeight="1">
      <c r="A72" s="5"/>
      <c r="B72" s="150" t="str">
        <f>HYPERLINK("http://amare-moscow.ru/catalog/gotovye_blyuda/salat_iz_molodykh_osminogov_don_kreveton_0_2kg_6_sht_rossiya/","Салат из молодых осьминогов ")</f>
        <v xml:space="preserve">Салат из молодых осьминогов </v>
      </c>
      <c r="C72" s="27"/>
      <c r="D72" s="28" t="s">
        <v>611</v>
      </c>
      <c r="E72" s="12"/>
      <c r="F72" s="29" t="s">
        <v>612</v>
      </c>
      <c r="G72" s="30" t="s">
        <v>19</v>
      </c>
      <c r="H72" s="13" t="s">
        <v>20</v>
      </c>
      <c r="I72" s="13">
        <v>260</v>
      </c>
      <c r="J72" s="30"/>
      <c r="K72" s="30">
        <f t="shared" si="5"/>
        <v>0</v>
      </c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</row>
    <row r="73" spans="1:32" ht="15" customHeight="1">
      <c r="A73" s="5"/>
      <c r="B73" s="150" t="str">
        <f>HYPERLINK("http://amare-moscow.ru/catalog/gotovye_blyuda/salat_iz_osminoga_don_kreveton_0_2kg_6_sht_rossiya/","Салат из осьминога ")</f>
        <v xml:space="preserve">Салат из осьминога </v>
      </c>
      <c r="C73" s="27"/>
      <c r="D73" s="28" t="s">
        <v>611</v>
      </c>
      <c r="E73" s="12"/>
      <c r="F73" s="29" t="s">
        <v>612</v>
      </c>
      <c r="G73" s="30" t="s">
        <v>19</v>
      </c>
      <c r="H73" s="13" t="s">
        <v>20</v>
      </c>
      <c r="I73" s="13">
        <v>215</v>
      </c>
      <c r="J73" s="30"/>
      <c r="K73" s="30">
        <f t="shared" si="5"/>
        <v>0</v>
      </c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</row>
    <row r="74" spans="1:32" ht="15" customHeight="1">
      <c r="A74" s="5"/>
      <c r="B74" s="156" t="s">
        <v>613</v>
      </c>
      <c r="C74" s="27"/>
      <c r="D74" s="28" t="s">
        <v>611</v>
      </c>
      <c r="E74" s="12" t="s">
        <v>204</v>
      </c>
      <c r="F74" s="29" t="s">
        <v>612</v>
      </c>
      <c r="G74" s="30" t="s">
        <v>19</v>
      </c>
      <c r="H74" s="13" t="s">
        <v>20</v>
      </c>
      <c r="I74" s="13">
        <v>180</v>
      </c>
      <c r="J74" s="30"/>
      <c r="K74" s="30">
        <f t="shared" si="5"/>
        <v>0</v>
      </c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</row>
    <row r="75" spans="1:32" ht="15" customHeight="1">
      <c r="A75" s="5"/>
      <c r="B75" s="150" t="str">
        <f>HYPERLINK("http://amare-moscow.ru/catalog/morskie_vodorosli_/salat_iz_marinovannykh_gribov_shiitake_i_rostkov_paporotnika_don_kreveton_0_2kg_6sht_rossiya/","Салат из грибов шиитаке и ростков папоротника")</f>
        <v>Салат из грибов шиитаке и ростков папоротника</v>
      </c>
      <c r="C75" s="27"/>
      <c r="D75" s="28" t="s">
        <v>611</v>
      </c>
      <c r="E75" s="12" t="s">
        <v>204</v>
      </c>
      <c r="F75" s="29" t="s">
        <v>612</v>
      </c>
      <c r="G75" s="30" t="s">
        <v>19</v>
      </c>
      <c r="H75" s="13" t="s">
        <v>20</v>
      </c>
      <c r="I75" s="13">
        <v>200</v>
      </c>
      <c r="J75" s="30"/>
      <c r="K75" s="30">
        <f t="shared" si="5"/>
        <v>0</v>
      </c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</row>
    <row r="76" spans="1:32" ht="15" customHeight="1">
      <c r="A76" s="5"/>
      <c r="B76" s="150" t="str">
        <f>HYPERLINK("http://amare-moscow.ru/catalog/gotovye_blyuda/salat_iz_meduzy_don_kreveton_0_2kg_6_sht_rossiya/","Салат из медузы")</f>
        <v>Салат из медузы</v>
      </c>
      <c r="C76" s="27"/>
      <c r="D76" s="28" t="s">
        <v>611</v>
      </c>
      <c r="E76" s="12" t="s">
        <v>204</v>
      </c>
      <c r="F76" s="29" t="s">
        <v>612</v>
      </c>
      <c r="G76" s="30" t="s">
        <v>19</v>
      </c>
      <c r="H76" s="13" t="s">
        <v>20</v>
      </c>
      <c r="I76" s="13">
        <v>200</v>
      </c>
      <c r="J76" s="30"/>
      <c r="K76" s="30">
        <f t="shared" si="5"/>
        <v>0</v>
      </c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</row>
    <row r="77" spans="1:32" ht="15" customHeight="1">
      <c r="A77" s="5"/>
      <c r="B77" s="150" t="str">
        <f>HYPERLINK("http://amare-moscow.ru/catalog/morskie_vodorosli_/salat_iz_morskikh_vodorosley_chuka_s_orekhovym_sousom_don_kreveton_0_2kg_10sht_rossiya/","Салат из морских водорослей Чука с ореховым соусом")</f>
        <v>Салат из морских водорослей Чука с ореховым соусом</v>
      </c>
      <c r="C77" s="27"/>
      <c r="D77" s="28" t="s">
        <v>611</v>
      </c>
      <c r="E77" s="12" t="s">
        <v>204</v>
      </c>
      <c r="F77" s="29" t="s">
        <v>205</v>
      </c>
      <c r="G77" s="30" t="s">
        <v>19</v>
      </c>
      <c r="H77" s="13" t="s">
        <v>20</v>
      </c>
      <c r="I77" s="13">
        <v>100</v>
      </c>
      <c r="J77" s="30"/>
      <c r="K77" s="30">
        <f t="shared" si="5"/>
        <v>0</v>
      </c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</row>
    <row r="78" spans="1:32" ht="15" customHeight="1">
      <c r="A78" s="5"/>
      <c r="B78" s="150" t="str">
        <f>HYPERLINK("http://amare-moscow.ru/catalog/morskie_vodorosli_/salat_iz_morskikh_vodorosley_chuka_s_rastitelnym_maslom_don_kreveton_0_2kg_10sht_rossiya/","Салат из морских водорослей Чука с растительным маслом")</f>
        <v>Салат из морских водорослей Чука с растительным маслом</v>
      </c>
      <c r="C78" s="27"/>
      <c r="D78" s="28" t="s">
        <v>611</v>
      </c>
      <c r="E78" s="12" t="s">
        <v>204</v>
      </c>
      <c r="F78" s="29" t="s">
        <v>612</v>
      </c>
      <c r="G78" s="30" t="s">
        <v>19</v>
      </c>
      <c r="H78" s="13" t="s">
        <v>20</v>
      </c>
      <c r="I78" s="13">
        <v>90</v>
      </c>
      <c r="J78" s="30"/>
      <c r="K78" s="30">
        <f t="shared" si="5"/>
        <v>0</v>
      </c>
      <c r="L78" s="341"/>
      <c r="M78" s="341"/>
      <c r="N78" s="341"/>
      <c r="O78" s="341"/>
      <c r="P78" s="373" t="s">
        <v>614</v>
      </c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</row>
    <row r="79" spans="1:32" ht="15" customHeight="1">
      <c r="A79" s="5"/>
      <c r="B79" s="150" t="str">
        <f>HYPERLINK("http://amare-moscow.ru/catalog/morskie_vodorosli_/salat_iz_morskikh_vodorosley_chuka_krasnaya_s_rastitelnym_maslom_don_kreveton_0_2kg_10sht_rossiya/","Салат из морских водорослей Чука Красная")</f>
        <v>Салат из морских водорослей Чука Красная</v>
      </c>
      <c r="C79" s="27"/>
      <c r="D79" s="28" t="s">
        <v>611</v>
      </c>
      <c r="E79" s="12" t="s">
        <v>204</v>
      </c>
      <c r="F79" s="29" t="s">
        <v>612</v>
      </c>
      <c r="G79" s="30" t="s">
        <v>19</v>
      </c>
      <c r="H79" s="13" t="s">
        <v>20</v>
      </c>
      <c r="I79" s="13">
        <v>120</v>
      </c>
      <c r="J79" s="30"/>
      <c r="K79" s="30">
        <f t="shared" si="5"/>
        <v>0</v>
      </c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</row>
    <row r="80" spans="1:32" ht="26.25" customHeight="1">
      <c r="A80" s="20"/>
      <c r="B80" s="248" t="s">
        <v>201</v>
      </c>
      <c r="C80" s="22"/>
      <c r="D80" s="23" t="s">
        <v>28</v>
      </c>
      <c r="E80" s="23" t="s">
        <v>29</v>
      </c>
      <c r="F80" s="24" t="s">
        <v>30</v>
      </c>
      <c r="G80" s="23" t="s">
        <v>31</v>
      </c>
      <c r="H80" s="25" t="s">
        <v>32</v>
      </c>
      <c r="I80" s="24" t="s">
        <v>33</v>
      </c>
      <c r="J80" s="24" t="s">
        <v>34</v>
      </c>
      <c r="K80" s="23" t="s">
        <v>35</v>
      </c>
      <c r="L80" s="373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</row>
    <row r="81" spans="1:32" ht="18" customHeight="1">
      <c r="A81" s="5"/>
      <c r="B81" s="374" t="s">
        <v>202</v>
      </c>
      <c r="C81" s="76"/>
      <c r="D81" s="77" t="s">
        <v>203</v>
      </c>
      <c r="E81" s="81" t="s">
        <v>204</v>
      </c>
      <c r="F81" s="79" t="s">
        <v>205</v>
      </c>
      <c r="G81" s="80" t="s">
        <v>19</v>
      </c>
      <c r="H81" s="82" t="s">
        <v>20</v>
      </c>
      <c r="I81" s="82">
        <v>70</v>
      </c>
      <c r="J81" s="80"/>
      <c r="K81" s="30">
        <f t="shared" ref="K81:K93" si="6">I81*J81</f>
        <v>0</v>
      </c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</row>
    <row r="82" spans="1:32" ht="15" customHeight="1">
      <c r="A82" s="5"/>
      <c r="B82" s="374" t="s">
        <v>615</v>
      </c>
      <c r="C82" s="76"/>
      <c r="D82" s="77" t="s">
        <v>203</v>
      </c>
      <c r="E82" s="81" t="s">
        <v>204</v>
      </c>
      <c r="F82" s="79" t="s">
        <v>205</v>
      </c>
      <c r="G82" s="80" t="s">
        <v>19</v>
      </c>
      <c r="H82" s="82" t="s">
        <v>20</v>
      </c>
      <c r="I82" s="82">
        <v>70</v>
      </c>
      <c r="J82" s="80"/>
      <c r="K82" s="30">
        <f t="shared" si="6"/>
        <v>0</v>
      </c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</row>
    <row r="83" spans="1:32" ht="15" customHeight="1">
      <c r="A83" s="5"/>
      <c r="B83" s="150" t="str">
        <f>HYPERLINK("http://amare-moscow.ru/catalog/morskie_vodorosli_/salat_iz_morskoy_kapusty_s_lukom_don_kreveton_0_2kg_10sht_rossiya/","Салат из морской капусты с луком")</f>
        <v>Салат из морской капусты с луком</v>
      </c>
      <c r="C83" s="27"/>
      <c r="D83" s="28" t="s">
        <v>195</v>
      </c>
      <c r="E83" s="12" t="s">
        <v>204</v>
      </c>
      <c r="F83" s="29" t="s">
        <v>205</v>
      </c>
      <c r="G83" s="30" t="s">
        <v>19</v>
      </c>
      <c r="H83" s="13" t="s">
        <v>20</v>
      </c>
      <c r="I83" s="13">
        <v>37</v>
      </c>
      <c r="J83" s="30"/>
      <c r="K83" s="30">
        <f t="shared" si="6"/>
        <v>0</v>
      </c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</row>
    <row r="84" spans="1:32" ht="15" customHeight="1">
      <c r="A84" s="5"/>
      <c r="B84" s="150" t="str">
        <f>HYPERLINK("http://amare-moscow.ru/catalog/morskie_vodorosli_/salat_iz_morskoy_kapusty_v_slivochnom_souse_don_kreveton_0_2kg_10sht_rossiya/","Салат из морской капусты в сливочном соусе")</f>
        <v>Салат из морской капусты в сливочном соусе</v>
      </c>
      <c r="C84" s="27"/>
      <c r="D84" s="28" t="s">
        <v>195</v>
      </c>
      <c r="E84" s="12" t="s">
        <v>204</v>
      </c>
      <c r="F84" s="29" t="s">
        <v>205</v>
      </c>
      <c r="G84" s="30" t="s">
        <v>19</v>
      </c>
      <c r="H84" s="13" t="s">
        <v>20</v>
      </c>
      <c r="I84" s="13">
        <v>40</v>
      </c>
      <c r="J84" s="30"/>
      <c r="K84" s="30">
        <f t="shared" si="6"/>
        <v>0</v>
      </c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</row>
    <row r="85" spans="1:32" ht="15" customHeight="1">
      <c r="A85" s="5"/>
      <c r="B85" s="150" t="str">
        <f>HYPERLINK("http://amare-moscow.ru/catalog/morskie_vodorosli_/salat_iz_morskoy_kapusty_s_maslom_don_kreveton_0_2kg_10sht_rossiya/","Салат из морской капусты с маслом")</f>
        <v>Салат из морской капусты с маслом</v>
      </c>
      <c r="C85" s="27"/>
      <c r="D85" s="28" t="s">
        <v>195</v>
      </c>
      <c r="E85" s="12" t="s">
        <v>204</v>
      </c>
      <c r="F85" s="29" t="s">
        <v>205</v>
      </c>
      <c r="G85" s="30" t="s">
        <v>19</v>
      </c>
      <c r="H85" s="13" t="s">
        <v>20</v>
      </c>
      <c r="I85" s="13">
        <v>38</v>
      </c>
      <c r="J85" s="30"/>
      <c r="K85" s="30">
        <f t="shared" si="6"/>
        <v>0</v>
      </c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</row>
    <row r="86" spans="1:32" ht="15" customHeight="1">
      <c r="A86" s="5"/>
      <c r="B86" s="378" t="s">
        <v>616</v>
      </c>
      <c r="C86" s="76"/>
      <c r="D86" s="379" t="s">
        <v>195</v>
      </c>
      <c r="E86" s="380" t="s">
        <v>204</v>
      </c>
      <c r="F86" s="380" t="s">
        <v>617</v>
      </c>
      <c r="G86" s="379" t="s">
        <v>19</v>
      </c>
      <c r="H86" s="381" t="s">
        <v>20</v>
      </c>
      <c r="I86" s="381">
        <v>60</v>
      </c>
      <c r="J86" s="80"/>
      <c r="K86" s="30">
        <f t="shared" si="6"/>
        <v>0</v>
      </c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</row>
    <row r="87" spans="1:32" ht="15" customHeight="1">
      <c r="A87" s="5"/>
      <c r="B87" s="382" t="s">
        <v>618</v>
      </c>
      <c r="C87" s="76"/>
      <c r="D87" s="379" t="s">
        <v>195</v>
      </c>
      <c r="E87" s="380" t="s">
        <v>204</v>
      </c>
      <c r="F87" s="380" t="s">
        <v>617</v>
      </c>
      <c r="G87" s="379" t="s">
        <v>19</v>
      </c>
      <c r="H87" s="381" t="s">
        <v>20</v>
      </c>
      <c r="I87" s="381">
        <v>50</v>
      </c>
      <c r="J87" s="80"/>
      <c r="K87" s="30">
        <f t="shared" si="6"/>
        <v>0</v>
      </c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</row>
    <row r="88" spans="1:32" ht="15" customHeight="1">
      <c r="A88" s="5"/>
      <c r="B88" s="382" t="s">
        <v>619</v>
      </c>
      <c r="C88" s="76"/>
      <c r="D88" s="379" t="s">
        <v>195</v>
      </c>
      <c r="E88" s="380" t="s">
        <v>204</v>
      </c>
      <c r="F88" s="380" t="s">
        <v>617</v>
      </c>
      <c r="G88" s="379" t="s">
        <v>19</v>
      </c>
      <c r="H88" s="381" t="s">
        <v>20</v>
      </c>
      <c r="I88" s="381">
        <v>50</v>
      </c>
      <c r="J88" s="80"/>
      <c r="K88" s="30">
        <f t="shared" si="6"/>
        <v>0</v>
      </c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</row>
    <row r="89" spans="1:32" ht="15" customHeight="1">
      <c r="A89" s="5"/>
      <c r="B89" s="383" t="s">
        <v>620</v>
      </c>
      <c r="C89" s="76"/>
      <c r="D89" s="77" t="s">
        <v>195</v>
      </c>
      <c r="E89" s="81" t="s">
        <v>204</v>
      </c>
      <c r="F89" s="79" t="s">
        <v>205</v>
      </c>
      <c r="G89" s="80" t="s">
        <v>19</v>
      </c>
      <c r="H89" s="82" t="s">
        <v>20</v>
      </c>
      <c r="I89" s="82">
        <v>60</v>
      </c>
      <c r="J89" s="80"/>
      <c r="K89" s="30">
        <f t="shared" si="6"/>
        <v>0</v>
      </c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</row>
    <row r="90" spans="1:32" ht="15" customHeight="1">
      <c r="A90" s="5"/>
      <c r="B90" s="383" t="s">
        <v>621</v>
      </c>
      <c r="C90" s="76"/>
      <c r="D90" s="77" t="s">
        <v>195</v>
      </c>
      <c r="E90" s="81" t="s">
        <v>204</v>
      </c>
      <c r="F90" s="79" t="s">
        <v>205</v>
      </c>
      <c r="G90" s="80" t="s">
        <v>19</v>
      </c>
      <c r="H90" s="82" t="s">
        <v>20</v>
      </c>
      <c r="I90" s="82">
        <v>80</v>
      </c>
      <c r="J90" s="80"/>
      <c r="K90" s="30">
        <f t="shared" si="6"/>
        <v>0</v>
      </c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</row>
    <row r="91" spans="1:32" ht="15" customHeight="1">
      <c r="A91" s="5"/>
      <c r="B91" s="383" t="s">
        <v>622</v>
      </c>
      <c r="C91" s="76"/>
      <c r="D91" s="77" t="s">
        <v>195</v>
      </c>
      <c r="E91" s="81" t="s">
        <v>204</v>
      </c>
      <c r="F91" s="79" t="s">
        <v>617</v>
      </c>
      <c r="G91" s="80" t="s">
        <v>19</v>
      </c>
      <c r="H91" s="82" t="s">
        <v>20</v>
      </c>
      <c r="I91" s="82">
        <v>60</v>
      </c>
      <c r="J91" s="80"/>
      <c r="K91" s="30">
        <f t="shared" si="6"/>
        <v>0</v>
      </c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</row>
    <row r="92" spans="1:32" ht="15" customHeight="1">
      <c r="A92" s="5"/>
      <c r="B92" s="150" t="str">
        <f>HYPERLINK("http://amare-moscow.ru/catalog/ryba_v_zhele/shchuka_otvarnaya_v_zhele_don_kreveton_0_2kg_6_sht_rossiya/","Щука отварная в желе")</f>
        <v>Щука отварная в желе</v>
      </c>
      <c r="C92" s="27"/>
      <c r="D92" s="28" t="s">
        <v>611</v>
      </c>
      <c r="E92" s="12" t="s">
        <v>204</v>
      </c>
      <c r="F92" s="29" t="s">
        <v>623</v>
      </c>
      <c r="G92" s="30" t="s">
        <v>19</v>
      </c>
      <c r="H92" s="13" t="s">
        <v>20</v>
      </c>
      <c r="I92" s="13">
        <v>85</v>
      </c>
      <c r="J92" s="30"/>
      <c r="K92" s="30">
        <f t="shared" si="6"/>
        <v>0</v>
      </c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</row>
    <row r="93" spans="1:32" ht="15" customHeight="1">
      <c r="A93" s="5"/>
      <c r="B93" s="384" t="s">
        <v>624</v>
      </c>
      <c r="C93" s="385"/>
      <c r="D93" s="386" t="s">
        <v>611</v>
      </c>
      <c r="E93" s="387" t="s">
        <v>204</v>
      </c>
      <c r="F93" s="388" t="s">
        <v>623</v>
      </c>
      <c r="G93" s="386" t="s">
        <v>19</v>
      </c>
      <c r="H93" s="389" t="s">
        <v>20</v>
      </c>
      <c r="I93" s="390">
        <v>85</v>
      </c>
      <c r="J93" s="30"/>
      <c r="K93" s="30">
        <f t="shared" si="6"/>
        <v>0</v>
      </c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</row>
    <row r="94" spans="1:32" ht="15" customHeight="1">
      <c r="A94" s="5"/>
      <c r="B94" s="391" t="s">
        <v>625</v>
      </c>
      <c r="C94" s="385"/>
      <c r="D94" s="386" t="s">
        <v>611</v>
      </c>
      <c r="E94" s="387" t="s">
        <v>204</v>
      </c>
      <c r="F94" s="388" t="s">
        <v>623</v>
      </c>
      <c r="G94" s="386" t="s">
        <v>19</v>
      </c>
      <c r="H94" s="389" t="s">
        <v>20</v>
      </c>
      <c r="I94" s="392">
        <v>140</v>
      </c>
      <c r="J94" s="30"/>
      <c r="K94" s="30">
        <v>0</v>
      </c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</row>
    <row r="95" spans="1:32" ht="15" customHeight="1">
      <c r="A95" s="5"/>
      <c r="B95" s="391" t="s">
        <v>626</v>
      </c>
      <c r="C95" s="385"/>
      <c r="D95" s="386" t="s">
        <v>611</v>
      </c>
      <c r="E95" s="387" t="s">
        <v>204</v>
      </c>
      <c r="F95" s="388" t="s">
        <v>623</v>
      </c>
      <c r="G95" s="386" t="s">
        <v>19</v>
      </c>
      <c r="H95" s="389" t="s">
        <v>20</v>
      </c>
      <c r="I95" s="390">
        <v>110</v>
      </c>
      <c r="J95" s="30"/>
      <c r="K95" s="30">
        <f t="shared" ref="K95:K99" si="7">I95*J95</f>
        <v>0</v>
      </c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</row>
    <row r="96" spans="1:32" ht="15" customHeight="1">
      <c r="A96" s="5"/>
      <c r="B96" s="156" t="s">
        <v>206</v>
      </c>
      <c r="C96" s="27"/>
      <c r="D96" s="28" t="s">
        <v>207</v>
      </c>
      <c r="E96" s="12" t="s">
        <v>204</v>
      </c>
      <c r="F96" s="29" t="s">
        <v>627</v>
      </c>
      <c r="G96" s="30" t="s">
        <v>19</v>
      </c>
      <c r="H96" s="13" t="s">
        <v>20</v>
      </c>
      <c r="I96" s="13">
        <v>95</v>
      </c>
      <c r="J96" s="30"/>
      <c r="K96" s="30">
        <f t="shared" si="7"/>
        <v>0</v>
      </c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</row>
    <row r="97" spans="1:32" ht="15" customHeight="1">
      <c r="A97" s="5"/>
      <c r="B97" s="150" t="str">
        <f>HYPERLINK("http://www.amare-moscow.ru/catalog/konservy_i_preservy/kalmar_tikhookeanskiy_koltsa_v_masle_s_pryanostyami_don_kreveton_0_2kg_6_sht_rossiya/","Кольца кальмара тихоокеанского в масле с пряностями")</f>
        <v>Кольца кальмара тихоокеанского в масле с пряностями</v>
      </c>
      <c r="C97" s="27"/>
      <c r="D97" s="28" t="s">
        <v>611</v>
      </c>
      <c r="E97" s="12" t="s">
        <v>204</v>
      </c>
      <c r="F97" s="29" t="s">
        <v>205</v>
      </c>
      <c r="G97" s="30" t="s">
        <v>19</v>
      </c>
      <c r="H97" s="13" t="s">
        <v>20</v>
      </c>
      <c r="I97" s="13">
        <v>105</v>
      </c>
      <c r="J97" s="30"/>
      <c r="K97" s="30">
        <f t="shared" si="7"/>
        <v>0</v>
      </c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</row>
    <row r="98" spans="1:32" ht="15" customHeight="1">
      <c r="A98" s="5"/>
      <c r="B98" s="150" t="str">
        <f>HYPERLINK("http://www.amare-moscow.ru/catalog/konservy_i_preservy/myaso_midiy_v_masle_don_kreveton_0_2kg_6_sht_rossiya/","Мясо мидий  в масле ")</f>
        <v xml:space="preserve">Мясо мидий  в масле </v>
      </c>
      <c r="C98" s="27"/>
      <c r="D98" s="28" t="s">
        <v>611</v>
      </c>
      <c r="E98" s="12" t="s">
        <v>204</v>
      </c>
      <c r="F98" s="29" t="s">
        <v>205</v>
      </c>
      <c r="G98" s="30" t="s">
        <v>19</v>
      </c>
      <c r="H98" s="13" t="s">
        <v>20</v>
      </c>
      <c r="I98" s="13">
        <v>75</v>
      </c>
      <c r="J98" s="30"/>
      <c r="K98" s="30">
        <f t="shared" si="7"/>
        <v>0</v>
      </c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</row>
    <row r="99" spans="1:32" ht="15" customHeight="1">
      <c r="A99" s="5"/>
      <c r="B99" s="150" t="str">
        <f>HYPERLINK("http://www.amare-moscow.ru/catalog/konservy_i_preservy/myaso_midiy_chiliyskikh_v_gorchichnom_souse_don_kreveton_0_180kg_6sht_rossiya/","Мясо мидий чилийских  в горчичном соусе")</f>
        <v>Мясо мидий чилийских  в горчичном соусе</v>
      </c>
      <c r="C99" s="27"/>
      <c r="D99" s="28" t="s">
        <v>628</v>
      </c>
      <c r="E99" s="12" t="s">
        <v>204</v>
      </c>
      <c r="F99" s="29" t="s">
        <v>205</v>
      </c>
      <c r="G99" s="30" t="s">
        <v>19</v>
      </c>
      <c r="H99" s="13" t="s">
        <v>20</v>
      </c>
      <c r="I99" s="13">
        <v>90</v>
      </c>
      <c r="J99" s="30"/>
      <c r="K99" s="30">
        <f t="shared" si="7"/>
        <v>0</v>
      </c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</row>
    <row r="100" spans="1:32">
      <c r="A100" s="468" t="str">
        <f>HYPERLINK("http://www.amare-moscow.ru/catalog/krevetki/","Рыба слабосоленая и холодного копчения")</f>
        <v>Рыба слабосоленая и холодного копчения</v>
      </c>
      <c r="B100" s="457"/>
      <c r="C100" s="457"/>
      <c r="D100" s="457"/>
      <c r="E100" s="457"/>
      <c r="F100" s="457"/>
      <c r="G100" s="457"/>
      <c r="H100" s="457"/>
      <c r="I100" s="457"/>
      <c r="J100" s="457"/>
      <c r="K100" s="459"/>
      <c r="L100" s="373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</row>
    <row r="101" spans="1:32" ht="26.25" customHeight="1">
      <c r="A101" s="20"/>
      <c r="B101" s="200" t="str">
        <f>HYPERLINK("http://amare-moscow.ru/catalog/file_ryby_kholodnogo_kopcheniya_s_m/","Филе рыбное холодного копчения с/м")</f>
        <v>Филе рыбное холодного копчения с/м</v>
      </c>
      <c r="C101" s="22"/>
      <c r="D101" s="23" t="s">
        <v>28</v>
      </c>
      <c r="E101" s="23" t="s">
        <v>29</v>
      </c>
      <c r="F101" s="24" t="s">
        <v>30</v>
      </c>
      <c r="G101" s="23" t="s">
        <v>31</v>
      </c>
      <c r="H101" s="25" t="s">
        <v>32</v>
      </c>
      <c r="I101" s="24" t="s">
        <v>33</v>
      </c>
      <c r="J101" s="24" t="s">
        <v>34</v>
      </c>
      <c r="K101" s="23" t="s">
        <v>35</v>
      </c>
      <c r="L101" s="373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</row>
    <row r="102" spans="1:32" ht="15" customHeight="1">
      <c r="A102" s="5"/>
      <c r="B102" s="150" t="str">
        <f>HYPERLINK("http://amare-moscow.ru/catalog/file_ryby_kholodnogo_kopcheniya_s_m/losos_file_trim_s_kh_k_sm_v_u_don_kreveton_rossiya/","Лосось филе трим С х/к см в/у ~1,5 кг-2кг")</f>
        <v>Лосось филе трим С х/к см в/у ~1,5 кг-2кг</v>
      </c>
      <c r="C102" s="27"/>
      <c r="D102" s="28" t="s">
        <v>318</v>
      </c>
      <c r="E102" s="12" t="s">
        <v>319</v>
      </c>
      <c r="F102" s="29" t="s">
        <v>71</v>
      </c>
      <c r="G102" s="12" t="s">
        <v>319</v>
      </c>
      <c r="H102" s="13" t="s">
        <v>22</v>
      </c>
      <c r="I102" s="13">
        <v>1250</v>
      </c>
      <c r="J102" s="30"/>
      <c r="K102" s="30">
        <v>0</v>
      </c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</row>
    <row r="103" spans="1:32" ht="15" customHeight="1">
      <c r="A103" s="5"/>
      <c r="B103" s="156" t="s">
        <v>629</v>
      </c>
      <c r="C103" s="27"/>
      <c r="D103" s="28" t="s">
        <v>630</v>
      </c>
      <c r="E103" s="12" t="s">
        <v>319</v>
      </c>
      <c r="F103" s="29" t="s">
        <v>71</v>
      </c>
      <c r="G103" s="12" t="s">
        <v>319</v>
      </c>
      <c r="H103" s="13" t="s">
        <v>22</v>
      </c>
      <c r="I103" s="13">
        <v>910</v>
      </c>
      <c r="J103" s="30"/>
      <c r="K103" s="30">
        <v>0</v>
      </c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</row>
    <row r="104" spans="1:32" ht="15" customHeight="1">
      <c r="A104" s="5"/>
      <c r="B104" s="156" t="s">
        <v>631</v>
      </c>
      <c r="C104" s="27"/>
      <c r="D104" s="28" t="s">
        <v>632</v>
      </c>
      <c r="E104" s="12" t="s">
        <v>319</v>
      </c>
      <c r="F104" s="29" t="s">
        <v>71</v>
      </c>
      <c r="G104" s="12" t="s">
        <v>319</v>
      </c>
      <c r="H104" s="13" t="s">
        <v>22</v>
      </c>
      <c r="I104" s="13">
        <v>950</v>
      </c>
      <c r="J104" s="30"/>
      <c r="K104" s="30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</row>
    <row r="105" spans="1:32" ht="15" customHeight="1">
      <c r="A105" s="5"/>
      <c r="B105" s="150" t="str">
        <f>HYPERLINK("http://www.amare-moscow.ru/catalog/ryba_kholodnogo_kopcheniya/paltus_tushka_kh_k_don_kreveton_ves_rossiya/","Палтус филе н/к х/к см в/у 300+")</f>
        <v>Палтус филе н/к х/к см в/у 300+</v>
      </c>
      <c r="C105" s="27"/>
      <c r="D105" s="28" t="s">
        <v>318</v>
      </c>
      <c r="E105" s="12" t="s">
        <v>319</v>
      </c>
      <c r="F105" s="29" t="s">
        <v>71</v>
      </c>
      <c r="G105" s="30" t="s">
        <v>19</v>
      </c>
      <c r="H105" s="13" t="s">
        <v>22</v>
      </c>
      <c r="I105" s="13">
        <v>1350</v>
      </c>
      <c r="J105" s="30"/>
      <c r="K105" s="30">
        <f>I105*J105</f>
        <v>0</v>
      </c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</row>
    <row r="106" spans="1:32" ht="15" customHeight="1">
      <c r="A106" s="5"/>
      <c r="B106" s="150" t="str">
        <f>HYPERLINK("http://amare-moscow.ru/catalog/file_ryby_kholodnogo_kopcheniya_s_m/maslyanaya_file_n_k_kh_k_sm_don_kreveton_ves_rossiya/","Масляная филе н/к х/к см ~3-4кг")</f>
        <v>Масляная филе н/к х/к см ~3-4кг</v>
      </c>
      <c r="C106" s="27"/>
      <c r="D106" s="28" t="s">
        <v>633</v>
      </c>
      <c r="E106" s="12" t="s">
        <v>319</v>
      </c>
      <c r="F106" s="29" t="s">
        <v>71</v>
      </c>
      <c r="G106" s="30" t="s">
        <v>19</v>
      </c>
      <c r="H106" s="13" t="s">
        <v>22</v>
      </c>
      <c r="I106" s="13" t="s">
        <v>143</v>
      </c>
      <c r="J106" s="30"/>
      <c r="K106" s="30">
        <v>0</v>
      </c>
      <c r="L106" s="373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</row>
    <row r="107" spans="1:32" ht="15" customHeight="1">
      <c r="A107" s="5"/>
      <c r="B107" s="150" t="str">
        <f>HYPERLINK("http://www.amare-moscow.ru/catalog/ryba_kholodnogo_kopcheniya/maslyanaya_file_kusok_n_k_kh_k_sm_v_u_don_kreveton_0_5_kg_rossiya/","Масляная филе-кусок н/к х/к см в/у ~0,5 кг")</f>
        <v>Масляная филе-кусок н/к х/к см в/у ~0,5 кг</v>
      </c>
      <c r="C107" s="27"/>
      <c r="D107" s="28" t="s">
        <v>318</v>
      </c>
      <c r="E107" s="12" t="s">
        <v>319</v>
      </c>
      <c r="F107" s="29" t="s">
        <v>71</v>
      </c>
      <c r="G107" s="30" t="s">
        <v>19</v>
      </c>
      <c r="H107" s="13" t="s">
        <v>22</v>
      </c>
      <c r="I107" s="13">
        <v>660</v>
      </c>
      <c r="J107" s="30"/>
      <c r="K107" s="30">
        <f t="shared" ref="K107:K108" si="8">I107*J107</f>
        <v>0</v>
      </c>
      <c r="L107" s="373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</row>
    <row r="108" spans="1:32" ht="15" customHeight="1">
      <c r="A108" s="5"/>
      <c r="B108" s="150" t="str">
        <f>HYPERLINK("http://www.amare-moscow.ru/catalog/ryba_kholodnogo_kopcheniya/maslyanaya_file_kusok_n_k_kh_k_sm_v_u_don_kreveton_1kg_rossiya/","Масляная филе-кусок н/к х/к см в/у ~1кг")</f>
        <v>Масляная филе-кусок н/к х/к см в/у ~1кг</v>
      </c>
      <c r="C108" s="27"/>
      <c r="D108" s="28" t="s">
        <v>318</v>
      </c>
      <c r="E108" s="12" t="s">
        <v>319</v>
      </c>
      <c r="F108" s="29" t="s">
        <v>71</v>
      </c>
      <c r="G108" s="30" t="s">
        <v>19</v>
      </c>
      <c r="H108" s="13" t="s">
        <v>22</v>
      </c>
      <c r="I108" s="13">
        <v>660</v>
      </c>
      <c r="J108" s="30"/>
      <c r="K108" s="30">
        <f t="shared" si="8"/>
        <v>0</v>
      </c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</row>
    <row r="109" spans="1:32" ht="15" customHeight="1">
      <c r="A109" s="5"/>
      <c r="B109" s="156" t="s">
        <v>634</v>
      </c>
      <c r="C109" s="27"/>
      <c r="D109" s="28"/>
      <c r="E109" s="12" t="s">
        <v>319</v>
      </c>
      <c r="F109" s="29" t="s">
        <v>635</v>
      </c>
      <c r="G109" s="30" t="s">
        <v>19</v>
      </c>
      <c r="H109" s="13" t="s">
        <v>22</v>
      </c>
      <c r="I109" s="138" t="s">
        <v>143</v>
      </c>
      <c r="J109" s="169"/>
      <c r="K109" s="30">
        <v>0</v>
      </c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</row>
    <row r="110" spans="1:32" ht="26.25" customHeight="1">
      <c r="A110" s="20"/>
      <c r="B110" s="200" t="str">
        <f>HYPERLINK("http://www.amare-moscow.ru/catalog/ryba_slabosolenaya_/","Рыба слабосоленая")</f>
        <v>Рыба слабосоленая</v>
      </c>
      <c r="C110" s="22"/>
      <c r="D110" s="23" t="s">
        <v>28</v>
      </c>
      <c r="E110" s="23" t="s">
        <v>29</v>
      </c>
      <c r="F110" s="24" t="s">
        <v>30</v>
      </c>
      <c r="G110" s="23" t="s">
        <v>31</v>
      </c>
      <c r="H110" s="25" t="s">
        <v>32</v>
      </c>
      <c r="I110" s="24" t="s">
        <v>33</v>
      </c>
      <c r="J110" s="24" t="s">
        <v>34</v>
      </c>
      <c r="K110" s="23" t="s">
        <v>35</v>
      </c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</row>
    <row r="111" spans="1:32" ht="15" customHeight="1">
      <c r="A111" s="5"/>
      <c r="B111" s="150" t="str">
        <f>HYPERLINK("http://amare-moscow.ru/catalog/ryba_slabosolenaya_/losos_file_trim_s_s_s_v_u_don_kreveton_ves_rossiya/","Лосось филе трим С с/с с/м в/у Премиум 1,3-1,8 кг")</f>
        <v>Лосось филе трим С с/с с/м в/у Премиум 1,3-1,8 кг</v>
      </c>
      <c r="C111" s="27"/>
      <c r="D111" s="28" t="s">
        <v>318</v>
      </c>
      <c r="E111" s="12" t="s">
        <v>323</v>
      </c>
      <c r="F111" s="29" t="s">
        <v>324</v>
      </c>
      <c r="G111" s="30" t="s">
        <v>19</v>
      </c>
      <c r="H111" s="13" t="s">
        <v>22</v>
      </c>
      <c r="I111" s="13">
        <v>1300</v>
      </c>
      <c r="J111" s="30"/>
      <c r="K111" s="30">
        <v>0</v>
      </c>
      <c r="L111" s="373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</row>
    <row r="112" spans="1:32" ht="15" customHeight="1">
      <c r="A112" s="393" t="s">
        <v>636</v>
      </c>
      <c r="B112" s="394" t="s">
        <v>637</v>
      </c>
      <c r="C112" s="27"/>
      <c r="D112" s="28" t="s">
        <v>638</v>
      </c>
      <c r="E112" s="12" t="s">
        <v>323</v>
      </c>
      <c r="F112" s="29" t="s">
        <v>324</v>
      </c>
      <c r="G112" s="30" t="s">
        <v>19</v>
      </c>
      <c r="H112" s="13" t="s">
        <v>22</v>
      </c>
      <c r="I112" s="13">
        <v>935</v>
      </c>
      <c r="J112" s="30"/>
      <c r="K112" s="30">
        <f t="shared" ref="K112:K117" si="9">I112*J112</f>
        <v>0</v>
      </c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</row>
    <row r="113" spans="1:32" ht="15" customHeight="1">
      <c r="A113" s="5"/>
      <c r="B113" s="395" t="s">
        <v>639</v>
      </c>
      <c r="C113" s="27"/>
      <c r="D113" s="317" t="s">
        <v>640</v>
      </c>
      <c r="E113" s="12" t="s">
        <v>641</v>
      </c>
      <c r="F113" s="29" t="s">
        <v>205</v>
      </c>
      <c r="G113" s="30" t="s">
        <v>19</v>
      </c>
      <c r="H113" s="13" t="s">
        <v>22</v>
      </c>
      <c r="I113" s="13">
        <v>920</v>
      </c>
      <c r="J113" s="30"/>
      <c r="K113" s="30">
        <f t="shared" si="9"/>
        <v>0</v>
      </c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</row>
    <row r="114" spans="1:32" ht="15" customHeight="1">
      <c r="A114" s="5"/>
      <c r="B114" s="395" t="s">
        <v>642</v>
      </c>
      <c r="C114" s="27"/>
      <c r="D114" s="317" t="s">
        <v>640</v>
      </c>
      <c r="E114" s="12" t="s">
        <v>643</v>
      </c>
      <c r="F114" s="29" t="s">
        <v>612</v>
      </c>
      <c r="G114" s="30" t="s">
        <v>19</v>
      </c>
      <c r="H114" s="13" t="s">
        <v>22</v>
      </c>
      <c r="I114" s="13">
        <v>920</v>
      </c>
      <c r="J114" s="30"/>
      <c r="K114" s="30">
        <f t="shared" si="9"/>
        <v>0</v>
      </c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</row>
    <row r="115" spans="1:32" ht="15" customHeight="1">
      <c r="A115" s="5"/>
      <c r="B115" s="150" t="str">
        <f>HYPERLINK("http://www.amare-moscow.ru/catalog/ryba_slabosolenaya_/seld_file_s_s_don_kreveton_vedro_4_kg_rossiya/","Сельдь с/с 400 гр + в/у")</f>
        <v>Сельдь с/с 400 гр + в/у</v>
      </c>
      <c r="C115" s="27"/>
      <c r="D115" s="28" t="s">
        <v>522</v>
      </c>
      <c r="E115" s="12"/>
      <c r="F115" s="29" t="s">
        <v>612</v>
      </c>
      <c r="G115" s="30" t="s">
        <v>19</v>
      </c>
      <c r="H115" s="13" t="s">
        <v>22</v>
      </c>
      <c r="I115" s="13">
        <v>175</v>
      </c>
      <c r="J115" s="30"/>
      <c r="K115" s="30">
        <f t="shared" si="9"/>
        <v>0</v>
      </c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</row>
    <row r="116" spans="1:32" ht="15" customHeight="1">
      <c r="A116" s="5"/>
      <c r="B116" s="150" t="str">
        <f>HYPERLINK("http://www.amare-moscow.ru/catalog/ryba_slabosolenaya_/seld_file_s_s_don_kreveton_vedro_4_kg_rossiya/","Сельдь с/с 400 гр + 4 кг ведро")</f>
        <v>Сельдь с/с 400 гр + 4 кг ведро</v>
      </c>
      <c r="C116" s="27"/>
      <c r="D116" s="28" t="s">
        <v>27</v>
      </c>
      <c r="E116" s="12"/>
      <c r="F116" s="29" t="s">
        <v>644</v>
      </c>
      <c r="G116" s="30" t="s">
        <v>19</v>
      </c>
      <c r="H116" s="13" t="s">
        <v>22</v>
      </c>
      <c r="I116" s="13">
        <v>160</v>
      </c>
      <c r="J116" s="30"/>
      <c r="K116" s="30">
        <f t="shared" si="9"/>
        <v>0</v>
      </c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</row>
    <row r="117" spans="1:32" ht="15" customHeight="1">
      <c r="A117" s="5"/>
      <c r="B117" s="150" t="str">
        <f>HYPERLINK("http://amare-moscow.ru/catalog/ryba_slabosolenaya_/seld_file_s_s_v_masle_don_kreveton_520g_4sht_rossiya/","Сельдь филе с/с в масле")</f>
        <v>Сельдь филе с/с в масле</v>
      </c>
      <c r="C117" s="27"/>
      <c r="D117" s="28" t="s">
        <v>325</v>
      </c>
      <c r="E117" s="12"/>
      <c r="F117" s="29" t="s">
        <v>644</v>
      </c>
      <c r="G117" s="30" t="s">
        <v>19</v>
      </c>
      <c r="H117" s="13" t="s">
        <v>20</v>
      </c>
      <c r="I117" s="13">
        <v>105</v>
      </c>
      <c r="J117" s="30"/>
      <c r="K117" s="30">
        <f t="shared" si="9"/>
        <v>0</v>
      </c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</row>
    <row r="118" spans="1:32" ht="18" customHeight="1">
      <c r="A118" s="139"/>
      <c r="B118" s="466" t="s">
        <v>209</v>
      </c>
      <c r="C118" s="457"/>
      <c r="D118" s="457"/>
      <c r="E118" s="457"/>
      <c r="F118" s="457"/>
      <c r="G118" s="457"/>
      <c r="H118" s="457"/>
      <c r="I118" s="457"/>
      <c r="J118" s="457"/>
      <c r="K118" s="457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</row>
    <row r="119" spans="1:32" ht="18" customHeight="1">
      <c r="A119" s="139"/>
      <c r="B119" s="140" t="s">
        <v>210</v>
      </c>
      <c r="C119" s="140"/>
      <c r="D119" s="140"/>
      <c r="E119" s="140"/>
      <c r="F119" s="140"/>
      <c r="G119" s="140"/>
      <c r="H119" s="140"/>
      <c r="I119" s="140"/>
      <c r="J119" s="140"/>
      <c r="K119" s="140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</row>
    <row r="120" spans="1:32" ht="15" customHeight="1">
      <c r="A120" s="139"/>
      <c r="B120" s="205" t="s">
        <v>218</v>
      </c>
      <c r="C120" s="142"/>
      <c r="D120" s="12" t="s">
        <v>219</v>
      </c>
      <c r="E120" s="12" t="s">
        <v>220</v>
      </c>
      <c r="F120" s="30" t="s">
        <v>39</v>
      </c>
      <c r="G120" s="30" t="s">
        <v>19</v>
      </c>
      <c r="H120" s="152" t="s">
        <v>20</v>
      </c>
      <c r="I120" s="396">
        <v>390</v>
      </c>
      <c r="J120" s="142"/>
      <c r="K120" s="30">
        <f t="shared" ref="K120:K125" si="10">I120*J120</f>
        <v>0</v>
      </c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</row>
    <row r="121" spans="1:32" ht="15" customHeight="1">
      <c r="A121" s="139"/>
      <c r="B121" s="156" t="s">
        <v>645</v>
      </c>
      <c r="C121" s="151"/>
      <c r="D121" s="12" t="s">
        <v>222</v>
      </c>
      <c r="E121" s="12" t="s">
        <v>220</v>
      </c>
      <c r="F121" s="30" t="s">
        <v>39</v>
      </c>
      <c r="G121" s="30" t="s">
        <v>19</v>
      </c>
      <c r="H121" s="152" t="s">
        <v>20</v>
      </c>
      <c r="I121" s="152">
        <v>265</v>
      </c>
      <c r="J121" s="151"/>
      <c r="K121" s="30">
        <f t="shared" si="10"/>
        <v>0</v>
      </c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</row>
    <row r="122" spans="1:32" ht="15" customHeight="1">
      <c r="A122" s="139"/>
      <c r="B122" s="156" t="s">
        <v>225</v>
      </c>
      <c r="C122" s="151"/>
      <c r="D122" s="12" t="s">
        <v>219</v>
      </c>
      <c r="E122" s="12" t="s">
        <v>220</v>
      </c>
      <c r="F122" s="30" t="s">
        <v>39</v>
      </c>
      <c r="G122" s="30" t="s">
        <v>19</v>
      </c>
      <c r="H122" s="152" t="s">
        <v>20</v>
      </c>
      <c r="I122" s="152">
        <v>300</v>
      </c>
      <c r="J122" s="151"/>
      <c r="K122" s="30">
        <f t="shared" si="10"/>
        <v>0</v>
      </c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</row>
    <row r="123" spans="1:32" ht="15" customHeight="1">
      <c r="A123" s="139"/>
      <c r="B123" s="156" t="s">
        <v>226</v>
      </c>
      <c r="C123" s="151"/>
      <c r="D123" s="12" t="s">
        <v>219</v>
      </c>
      <c r="E123" s="12" t="s">
        <v>220</v>
      </c>
      <c r="F123" s="30" t="s">
        <v>39</v>
      </c>
      <c r="G123" s="30" t="s">
        <v>19</v>
      </c>
      <c r="H123" s="152" t="s">
        <v>20</v>
      </c>
      <c r="I123" s="152">
        <v>400</v>
      </c>
      <c r="J123" s="151"/>
      <c r="K123" s="30">
        <f t="shared" si="10"/>
        <v>0</v>
      </c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</row>
    <row r="124" spans="1:32" ht="15" customHeight="1">
      <c r="A124" s="139"/>
      <c r="B124" s="156" t="s">
        <v>227</v>
      </c>
      <c r="C124" s="151"/>
      <c r="D124" s="12" t="s">
        <v>219</v>
      </c>
      <c r="E124" s="12" t="s">
        <v>220</v>
      </c>
      <c r="F124" s="30" t="s">
        <v>39</v>
      </c>
      <c r="G124" s="30" t="s">
        <v>19</v>
      </c>
      <c r="H124" s="152" t="s">
        <v>20</v>
      </c>
      <c r="I124" s="152">
        <v>300</v>
      </c>
      <c r="J124" s="151"/>
      <c r="K124" s="30">
        <f t="shared" si="10"/>
        <v>0</v>
      </c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</row>
    <row r="125" spans="1:32" ht="15" customHeight="1">
      <c r="A125" s="139"/>
      <c r="B125" s="156" t="s">
        <v>228</v>
      </c>
      <c r="C125" s="151"/>
      <c r="D125" s="12" t="s">
        <v>219</v>
      </c>
      <c r="E125" s="12" t="s">
        <v>220</v>
      </c>
      <c r="F125" s="30" t="s">
        <v>39</v>
      </c>
      <c r="G125" s="30" t="s">
        <v>19</v>
      </c>
      <c r="H125" s="152" t="s">
        <v>20</v>
      </c>
      <c r="I125" s="152">
        <v>340</v>
      </c>
      <c r="J125" s="151"/>
      <c r="K125" s="30">
        <f t="shared" si="10"/>
        <v>0</v>
      </c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</row>
    <row r="126" spans="1:32" ht="15" customHeight="1">
      <c r="A126" s="139"/>
      <c r="B126" s="397" t="s">
        <v>229</v>
      </c>
      <c r="C126" s="151"/>
      <c r="D126" s="12" t="s">
        <v>146</v>
      </c>
      <c r="E126" s="12" t="s">
        <v>230</v>
      </c>
      <c r="F126" s="30" t="s">
        <v>39</v>
      </c>
      <c r="G126" s="30" t="s">
        <v>19</v>
      </c>
      <c r="H126" s="152" t="s">
        <v>20</v>
      </c>
      <c r="I126" s="152">
        <v>210</v>
      </c>
      <c r="J126" s="151"/>
      <c r="K126" s="30">
        <v>0</v>
      </c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</row>
    <row r="127" spans="1:32" ht="15" customHeight="1">
      <c r="A127" s="139"/>
      <c r="B127" s="156" t="s">
        <v>231</v>
      </c>
      <c r="C127" s="151"/>
      <c r="D127" s="12" t="s">
        <v>219</v>
      </c>
      <c r="E127" s="12" t="s">
        <v>220</v>
      </c>
      <c r="F127" s="30" t="s">
        <v>39</v>
      </c>
      <c r="G127" s="30" t="s">
        <v>19</v>
      </c>
      <c r="H127" s="152" t="s">
        <v>20</v>
      </c>
      <c r="I127" s="152">
        <v>310</v>
      </c>
      <c r="J127" s="151"/>
      <c r="K127" s="30">
        <f>I127*J127</f>
        <v>0</v>
      </c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</row>
    <row r="128" spans="1:32" ht="15" customHeight="1">
      <c r="A128" s="139"/>
      <c r="B128" s="156" t="s">
        <v>232</v>
      </c>
      <c r="C128" s="151"/>
      <c r="D128" s="12" t="s">
        <v>222</v>
      </c>
      <c r="E128" s="12" t="s">
        <v>220</v>
      </c>
      <c r="F128" s="30" t="s">
        <v>39</v>
      </c>
      <c r="G128" s="30" t="s">
        <v>19</v>
      </c>
      <c r="H128" s="152" t="s">
        <v>20</v>
      </c>
      <c r="I128" s="152">
        <v>248</v>
      </c>
      <c r="J128" s="151"/>
      <c r="K128" s="30">
        <v>0</v>
      </c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</row>
    <row r="129" spans="1:32" ht="15" customHeight="1">
      <c r="A129" s="139"/>
      <c r="B129" s="156" t="s">
        <v>233</v>
      </c>
      <c r="C129" s="151"/>
      <c r="D129" s="12" t="s">
        <v>222</v>
      </c>
      <c r="E129" s="12" t="s">
        <v>220</v>
      </c>
      <c r="F129" s="30" t="s">
        <v>39</v>
      </c>
      <c r="G129" s="30" t="s">
        <v>19</v>
      </c>
      <c r="H129" s="152" t="s">
        <v>20</v>
      </c>
      <c r="I129" s="152">
        <v>190</v>
      </c>
      <c r="J129" s="151"/>
      <c r="K129" s="30">
        <v>0</v>
      </c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</row>
    <row r="130" spans="1:32" ht="15" customHeight="1">
      <c r="A130" s="5"/>
      <c r="B130" s="156" t="s">
        <v>646</v>
      </c>
      <c r="C130" s="27"/>
      <c r="D130" s="12" t="s">
        <v>647</v>
      </c>
      <c r="E130" s="12"/>
      <c r="F130" s="29" t="s">
        <v>238</v>
      </c>
      <c r="G130" s="30" t="s">
        <v>19</v>
      </c>
      <c r="H130" s="138" t="s">
        <v>22</v>
      </c>
      <c r="I130" s="138">
        <v>370</v>
      </c>
      <c r="J130" s="169"/>
      <c r="K130" s="30">
        <f t="shared" ref="K130:K141" si="11">I130*J130</f>
        <v>0</v>
      </c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</row>
    <row r="131" spans="1:32" ht="15" customHeight="1">
      <c r="A131" s="139"/>
      <c r="B131" s="156" t="s">
        <v>240</v>
      </c>
      <c r="C131" s="151"/>
      <c r="D131" s="12" t="s">
        <v>219</v>
      </c>
      <c r="E131" s="12" t="s">
        <v>241</v>
      </c>
      <c r="F131" s="30" t="s">
        <v>39</v>
      </c>
      <c r="G131" s="30" t="s">
        <v>19</v>
      </c>
      <c r="H131" s="152" t="s">
        <v>20</v>
      </c>
      <c r="I131" s="152">
        <v>185</v>
      </c>
      <c r="J131" s="151"/>
      <c r="K131" s="30">
        <f t="shared" si="11"/>
        <v>0</v>
      </c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</row>
    <row r="132" spans="1:32" ht="15" customHeight="1">
      <c r="A132" s="139"/>
      <c r="B132" s="156" t="s">
        <v>408</v>
      </c>
      <c r="C132" s="151"/>
      <c r="D132" s="12" t="s">
        <v>243</v>
      </c>
      <c r="E132" s="12" t="s">
        <v>220</v>
      </c>
      <c r="F132" s="30" t="s">
        <v>39</v>
      </c>
      <c r="G132" s="30" t="s">
        <v>244</v>
      </c>
      <c r="H132" s="152" t="s">
        <v>20</v>
      </c>
      <c r="I132" s="152">
        <v>150</v>
      </c>
      <c r="J132" s="151"/>
      <c r="K132" s="30">
        <f t="shared" si="11"/>
        <v>0</v>
      </c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</row>
    <row r="133" spans="1:32" ht="15" customHeight="1">
      <c r="A133" s="139"/>
      <c r="B133" s="156" t="s">
        <v>245</v>
      </c>
      <c r="C133" s="151"/>
      <c r="D133" s="12" t="s">
        <v>222</v>
      </c>
      <c r="E133" s="12" t="s">
        <v>241</v>
      </c>
      <c r="F133" s="30" t="s">
        <v>39</v>
      </c>
      <c r="G133" s="30" t="s">
        <v>19</v>
      </c>
      <c r="H133" s="152" t="s">
        <v>20</v>
      </c>
      <c r="I133" s="152">
        <v>175</v>
      </c>
      <c r="J133" s="151"/>
      <c r="K133" s="30">
        <f t="shared" si="11"/>
        <v>0</v>
      </c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</row>
    <row r="134" spans="1:32" ht="15" customHeight="1">
      <c r="A134" s="139"/>
      <c r="B134" s="156" t="s">
        <v>248</v>
      </c>
      <c r="C134" s="151"/>
      <c r="D134" s="12" t="s">
        <v>219</v>
      </c>
      <c r="E134" s="12" t="s">
        <v>241</v>
      </c>
      <c r="F134" s="30" t="s">
        <v>39</v>
      </c>
      <c r="G134" s="30" t="s">
        <v>19</v>
      </c>
      <c r="H134" s="152" t="s">
        <v>20</v>
      </c>
      <c r="I134" s="152">
        <v>185</v>
      </c>
      <c r="J134" s="151"/>
      <c r="K134" s="30">
        <f t="shared" si="11"/>
        <v>0</v>
      </c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</row>
    <row r="135" spans="1:32" ht="15" customHeight="1">
      <c r="A135" s="139"/>
      <c r="B135" s="156" t="s">
        <v>249</v>
      </c>
      <c r="C135" s="151"/>
      <c r="D135" s="156" t="s">
        <v>250</v>
      </c>
      <c r="E135" s="12"/>
      <c r="F135" s="30" t="s">
        <v>39</v>
      </c>
      <c r="G135" s="30" t="s">
        <v>19</v>
      </c>
      <c r="H135" s="152" t="s">
        <v>22</v>
      </c>
      <c r="I135" s="152">
        <v>1200</v>
      </c>
      <c r="J135" s="151"/>
      <c r="K135" s="30">
        <f t="shared" si="11"/>
        <v>0</v>
      </c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</row>
    <row r="136" spans="1:32" ht="15" customHeight="1">
      <c r="A136" s="139"/>
      <c r="B136" s="156" t="s">
        <v>251</v>
      </c>
      <c r="C136" s="151"/>
      <c r="D136" s="162" t="s">
        <v>252</v>
      </c>
      <c r="E136" s="12"/>
      <c r="F136" s="30" t="s">
        <v>39</v>
      </c>
      <c r="G136" s="30" t="s">
        <v>19</v>
      </c>
      <c r="H136" s="152" t="s">
        <v>20</v>
      </c>
      <c r="I136" s="152">
        <v>650</v>
      </c>
      <c r="J136" s="151"/>
      <c r="K136" s="30">
        <f t="shared" si="11"/>
        <v>0</v>
      </c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</row>
    <row r="137" spans="1:32" ht="15" customHeight="1">
      <c r="A137" s="139"/>
      <c r="B137" s="156" t="s">
        <v>255</v>
      </c>
      <c r="C137" s="151"/>
      <c r="D137" s="156"/>
      <c r="E137" s="12"/>
      <c r="F137" s="30" t="s">
        <v>39</v>
      </c>
      <c r="G137" s="30" t="s">
        <v>19</v>
      </c>
      <c r="H137" s="152" t="s">
        <v>22</v>
      </c>
      <c r="I137" s="152">
        <v>423</v>
      </c>
      <c r="J137" s="151"/>
      <c r="K137" s="30">
        <f t="shared" si="11"/>
        <v>0</v>
      </c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</row>
    <row r="138" spans="1:32" ht="15" customHeight="1">
      <c r="A138" s="139"/>
      <c r="B138" s="156" t="s">
        <v>648</v>
      </c>
      <c r="C138" s="151"/>
      <c r="D138" s="156" t="s">
        <v>649</v>
      </c>
      <c r="E138" s="12" t="s">
        <v>220</v>
      </c>
      <c r="F138" s="30" t="s">
        <v>39</v>
      </c>
      <c r="G138" s="30" t="s">
        <v>19</v>
      </c>
      <c r="H138" s="152" t="s">
        <v>22</v>
      </c>
      <c r="I138" s="152">
        <v>380</v>
      </c>
      <c r="J138" s="151"/>
      <c r="K138" s="30">
        <f t="shared" si="11"/>
        <v>0</v>
      </c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</row>
    <row r="139" spans="1:32" ht="15" customHeight="1">
      <c r="A139" s="139"/>
      <c r="B139" s="156" t="s">
        <v>650</v>
      </c>
      <c r="C139" s="151"/>
      <c r="D139" s="156" t="s">
        <v>649</v>
      </c>
      <c r="E139" s="12"/>
      <c r="F139" s="30" t="s">
        <v>39</v>
      </c>
      <c r="G139" s="30" t="s">
        <v>19</v>
      </c>
      <c r="H139" s="152" t="s">
        <v>22</v>
      </c>
      <c r="I139" s="152">
        <v>240</v>
      </c>
      <c r="J139" s="151"/>
      <c r="K139" s="30">
        <f t="shared" si="11"/>
        <v>0</v>
      </c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</row>
    <row r="140" spans="1:32" ht="15" customHeight="1">
      <c r="A140" s="139"/>
      <c r="B140" s="156" t="s">
        <v>651</v>
      </c>
      <c r="C140" s="151"/>
      <c r="D140" s="156" t="s">
        <v>652</v>
      </c>
      <c r="E140" s="12" t="s">
        <v>220</v>
      </c>
      <c r="F140" s="30" t="s">
        <v>39</v>
      </c>
      <c r="G140" s="30" t="s">
        <v>19</v>
      </c>
      <c r="H140" s="152" t="s">
        <v>22</v>
      </c>
      <c r="I140" s="152">
        <v>315</v>
      </c>
      <c r="J140" s="151"/>
      <c r="K140" s="30">
        <f t="shared" si="11"/>
        <v>0</v>
      </c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</row>
    <row r="141" spans="1:32" ht="15" customHeight="1">
      <c r="A141" s="139"/>
      <c r="B141" s="156" t="s">
        <v>653</v>
      </c>
      <c r="C141" s="151"/>
      <c r="D141" s="156" t="s">
        <v>250</v>
      </c>
      <c r="E141" s="16"/>
      <c r="F141" s="30" t="s">
        <v>39</v>
      </c>
      <c r="G141" s="30" t="s">
        <v>19</v>
      </c>
      <c r="H141" s="152" t="s">
        <v>22</v>
      </c>
      <c r="I141" s="152">
        <v>950</v>
      </c>
      <c r="J141" s="151"/>
      <c r="K141" s="30">
        <f t="shared" si="11"/>
        <v>0</v>
      </c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</row>
    <row r="142" spans="1:32" ht="15" customHeight="1">
      <c r="A142" s="139"/>
      <c r="B142" s="156" t="s">
        <v>654</v>
      </c>
      <c r="C142" s="151"/>
      <c r="D142" s="156" t="s">
        <v>655</v>
      </c>
      <c r="E142" s="12" t="s">
        <v>656</v>
      </c>
      <c r="F142" s="30" t="s">
        <v>39</v>
      </c>
      <c r="G142" s="30" t="s">
        <v>19</v>
      </c>
      <c r="H142" s="152" t="s">
        <v>22</v>
      </c>
      <c r="I142" s="152">
        <v>180</v>
      </c>
      <c r="J142" s="151"/>
      <c r="K142" s="30">
        <v>0</v>
      </c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</row>
    <row r="143" spans="1:32" ht="15" customHeight="1">
      <c r="A143" s="139"/>
      <c r="B143" s="156" t="s">
        <v>657</v>
      </c>
      <c r="C143" s="151"/>
      <c r="D143" s="156" t="s">
        <v>658</v>
      </c>
      <c r="E143" s="16"/>
      <c r="F143" s="30" t="s">
        <v>39</v>
      </c>
      <c r="G143" s="30" t="s">
        <v>19</v>
      </c>
      <c r="H143" s="152" t="s">
        <v>22</v>
      </c>
      <c r="I143" s="152">
        <v>675</v>
      </c>
      <c r="J143" s="151"/>
      <c r="K143" s="30">
        <f>I143*J143</f>
        <v>0</v>
      </c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</row>
    <row r="144" spans="1:32" ht="15" customHeight="1">
      <c r="A144" s="139"/>
      <c r="B144" s="156" t="s">
        <v>268</v>
      </c>
      <c r="C144" s="151"/>
      <c r="D144" s="156" t="s">
        <v>269</v>
      </c>
      <c r="E144" s="16"/>
      <c r="F144" s="30" t="s">
        <v>39</v>
      </c>
      <c r="G144" s="30" t="s">
        <v>19</v>
      </c>
      <c r="H144" s="152" t="s">
        <v>22</v>
      </c>
      <c r="I144" s="152">
        <v>200</v>
      </c>
      <c r="J144" s="151"/>
      <c r="K144" s="30">
        <v>0</v>
      </c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</row>
    <row r="145" spans="1:32" ht="15" customHeight="1">
      <c r="A145" s="139"/>
      <c r="B145" s="156" t="s">
        <v>273</v>
      </c>
      <c r="C145" s="151"/>
      <c r="D145" s="156" t="s">
        <v>269</v>
      </c>
      <c r="E145" s="12"/>
      <c r="F145" s="30" t="s">
        <v>39</v>
      </c>
      <c r="G145" s="30" t="s">
        <v>19</v>
      </c>
      <c r="H145" s="152" t="s">
        <v>22</v>
      </c>
      <c r="I145" s="152">
        <v>385</v>
      </c>
      <c r="J145" s="151"/>
      <c r="K145" s="30">
        <f t="shared" ref="K145:K146" si="12">I145*J145</f>
        <v>0</v>
      </c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</row>
    <row r="146" spans="1:32" ht="15" customHeight="1">
      <c r="A146" s="139"/>
      <c r="B146" s="156" t="s">
        <v>277</v>
      </c>
      <c r="C146" s="4"/>
      <c r="D146" s="178" t="s">
        <v>278</v>
      </c>
      <c r="E146" s="179"/>
      <c r="F146" s="30" t="s">
        <v>39</v>
      </c>
      <c r="G146" s="30" t="s">
        <v>19</v>
      </c>
      <c r="H146" s="152" t="s">
        <v>22</v>
      </c>
      <c r="I146" s="152">
        <v>640</v>
      </c>
      <c r="J146" s="4"/>
      <c r="K146" s="30">
        <f t="shared" si="12"/>
        <v>0</v>
      </c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</row>
    <row r="147" spans="1:32" ht="15" customHeight="1">
      <c r="A147" s="139"/>
      <c r="B147" s="156" t="s">
        <v>282</v>
      </c>
      <c r="C147" s="179"/>
      <c r="D147" s="156" t="s">
        <v>269</v>
      </c>
      <c r="E147" s="179"/>
      <c r="F147" s="30" t="s">
        <v>39</v>
      </c>
      <c r="G147" s="30" t="s">
        <v>19</v>
      </c>
      <c r="H147" s="145" t="s">
        <v>22</v>
      </c>
      <c r="I147" s="145">
        <v>480</v>
      </c>
      <c r="J147" s="179"/>
      <c r="K147" s="30">
        <v>0</v>
      </c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</row>
    <row r="148" spans="1:32" ht="15" customHeight="1">
      <c r="A148" s="139"/>
      <c r="B148" s="156" t="s">
        <v>283</v>
      </c>
      <c r="C148" s="179"/>
      <c r="D148" s="156" t="s">
        <v>269</v>
      </c>
      <c r="E148" s="179"/>
      <c r="F148" s="30" t="s">
        <v>39</v>
      </c>
      <c r="G148" s="30" t="s">
        <v>19</v>
      </c>
      <c r="H148" s="145" t="s">
        <v>22</v>
      </c>
      <c r="I148" s="145">
        <v>185</v>
      </c>
      <c r="J148" s="179"/>
      <c r="K148" s="30">
        <f>I148*J148</f>
        <v>0</v>
      </c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</row>
    <row r="149" spans="1:32" ht="15" customHeight="1">
      <c r="A149" s="139"/>
      <c r="B149" s="156" t="s">
        <v>659</v>
      </c>
      <c r="C149" s="151"/>
      <c r="D149" s="156" t="s">
        <v>265</v>
      </c>
      <c r="E149" s="12"/>
      <c r="F149" s="30" t="s">
        <v>39</v>
      </c>
      <c r="G149" s="30" t="s">
        <v>19</v>
      </c>
      <c r="H149" s="152" t="s">
        <v>22</v>
      </c>
      <c r="I149" s="152">
        <v>370</v>
      </c>
      <c r="J149" s="151"/>
      <c r="K149" s="30">
        <v>0</v>
      </c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</row>
    <row r="150" spans="1:32" ht="15" customHeight="1">
      <c r="A150" s="139"/>
      <c r="B150" s="156" t="s">
        <v>660</v>
      </c>
      <c r="C150" s="156"/>
      <c r="D150" s="156" t="s">
        <v>658</v>
      </c>
      <c r="E150" s="179"/>
      <c r="F150" s="30" t="s">
        <v>39</v>
      </c>
      <c r="G150" s="30" t="s">
        <v>19</v>
      </c>
      <c r="H150" s="145" t="s">
        <v>22</v>
      </c>
      <c r="I150" s="145">
        <v>650</v>
      </c>
      <c r="J150" s="179"/>
      <c r="K150" s="30">
        <f>I150*J150</f>
        <v>0</v>
      </c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</row>
    <row r="151" spans="1:32" ht="15" customHeight="1">
      <c r="A151" s="139"/>
      <c r="B151" s="156" t="s">
        <v>661</v>
      </c>
      <c r="C151" s="156"/>
      <c r="D151" s="156" t="s">
        <v>662</v>
      </c>
      <c r="E151" s="179"/>
      <c r="F151" s="30" t="s">
        <v>39</v>
      </c>
      <c r="G151" s="30" t="s">
        <v>19</v>
      </c>
      <c r="H151" s="145" t="s">
        <v>22</v>
      </c>
      <c r="I151" s="145">
        <v>320</v>
      </c>
      <c r="J151" s="179"/>
      <c r="K151" s="30">
        <v>0</v>
      </c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</row>
    <row r="152" spans="1:32" ht="15" customHeight="1">
      <c r="A152" s="139"/>
      <c r="B152" s="156" t="s">
        <v>663</v>
      </c>
      <c r="C152" s="398"/>
      <c r="D152" s="156" t="s">
        <v>652</v>
      </c>
      <c r="E152" s="179"/>
      <c r="F152" s="30" t="s">
        <v>39</v>
      </c>
      <c r="G152" s="30" t="s">
        <v>19</v>
      </c>
      <c r="H152" s="145" t="s">
        <v>22</v>
      </c>
      <c r="I152" s="145">
        <v>380</v>
      </c>
      <c r="J152" s="4"/>
      <c r="K152" s="30">
        <v>0</v>
      </c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</row>
    <row r="153" spans="1:32" ht="15" customHeight="1">
      <c r="A153" s="139"/>
      <c r="B153" s="156" t="s">
        <v>664</v>
      </c>
      <c r="C153" s="151"/>
      <c r="D153" s="156" t="s">
        <v>451</v>
      </c>
      <c r="E153" s="12"/>
      <c r="F153" s="30" t="s">
        <v>39</v>
      </c>
      <c r="G153" s="30" t="s">
        <v>19</v>
      </c>
      <c r="H153" s="152" t="s">
        <v>22</v>
      </c>
      <c r="I153" s="152">
        <v>560</v>
      </c>
      <c r="J153" s="151"/>
      <c r="K153" s="30">
        <f t="shared" ref="K153:K154" si="13">I153*J153</f>
        <v>0</v>
      </c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</row>
    <row r="154" spans="1:32" ht="15" customHeight="1">
      <c r="A154" s="139"/>
      <c r="B154" s="156" t="s">
        <v>665</v>
      </c>
      <c r="C154" s="151"/>
      <c r="D154" s="156" t="s">
        <v>652</v>
      </c>
      <c r="E154" s="12"/>
      <c r="F154" s="30" t="s">
        <v>39</v>
      </c>
      <c r="G154" s="30" t="s">
        <v>19</v>
      </c>
      <c r="H154" s="152" t="s">
        <v>22</v>
      </c>
      <c r="I154" s="152">
        <v>750</v>
      </c>
      <c r="J154" s="151"/>
      <c r="K154" s="30">
        <f t="shared" si="13"/>
        <v>0</v>
      </c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</row>
    <row r="155" spans="1:32" ht="15" customHeight="1">
      <c r="A155" s="139"/>
      <c r="B155" s="156" t="s">
        <v>292</v>
      </c>
      <c r="C155" s="179"/>
      <c r="D155" s="156" t="s">
        <v>293</v>
      </c>
      <c r="E155" s="179"/>
      <c r="F155" s="30" t="s">
        <v>39</v>
      </c>
      <c r="G155" s="30" t="s">
        <v>19</v>
      </c>
      <c r="H155" s="145" t="s">
        <v>22</v>
      </c>
      <c r="I155" s="145">
        <v>400</v>
      </c>
      <c r="J155" s="146"/>
      <c r="K155" s="30">
        <v>0</v>
      </c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</row>
    <row r="156" spans="1:32" ht="15" customHeight="1">
      <c r="A156" s="186"/>
      <c r="B156" s="156" t="s">
        <v>294</v>
      </c>
      <c r="C156" s="151"/>
      <c r="D156" s="156" t="s">
        <v>293</v>
      </c>
      <c r="E156" s="12"/>
      <c r="F156" s="30" t="s">
        <v>39</v>
      </c>
      <c r="G156" s="30" t="s">
        <v>19</v>
      </c>
      <c r="H156" s="152" t="s">
        <v>22</v>
      </c>
      <c r="I156" s="152">
        <v>230</v>
      </c>
      <c r="J156" s="151"/>
      <c r="K156" s="30">
        <f>I156*J156</f>
        <v>0</v>
      </c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</row>
    <row r="157" spans="1:32" ht="15" customHeight="1">
      <c r="A157" s="186"/>
      <c r="B157" s="156" t="s">
        <v>295</v>
      </c>
      <c r="C157" s="151"/>
      <c r="D157" s="156" t="s">
        <v>293</v>
      </c>
      <c r="E157" s="12"/>
      <c r="F157" s="30" t="s">
        <v>39</v>
      </c>
      <c r="G157" s="30" t="s">
        <v>19</v>
      </c>
      <c r="H157" s="152" t="s">
        <v>22</v>
      </c>
      <c r="I157" s="152">
        <v>350</v>
      </c>
      <c r="J157" s="151"/>
      <c r="K157" s="30">
        <v>0</v>
      </c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</row>
    <row r="158" spans="1:32" ht="15" customHeight="1">
      <c r="A158" s="186"/>
      <c r="B158" s="156" t="s">
        <v>666</v>
      </c>
      <c r="C158" s="151"/>
      <c r="D158" s="156" t="s">
        <v>667</v>
      </c>
      <c r="E158" s="12"/>
      <c r="F158" s="30" t="s">
        <v>39</v>
      </c>
      <c r="G158" s="30" t="s">
        <v>19</v>
      </c>
      <c r="H158" s="152" t="s">
        <v>22</v>
      </c>
      <c r="I158" s="152">
        <v>300</v>
      </c>
      <c r="J158" s="151"/>
      <c r="K158" s="30">
        <f>I158*J158</f>
        <v>0</v>
      </c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</row>
    <row r="159" spans="1:32" ht="18.75" customHeight="1">
      <c r="A159" s="458" t="str">
        <f>HYPERLINK("http://www.amare-moscow.ru/catalog/krevetki/","Креветки")</f>
        <v>Креветки</v>
      </c>
      <c r="B159" s="457"/>
      <c r="C159" s="457"/>
      <c r="D159" s="457"/>
      <c r="E159" s="457"/>
      <c r="F159" s="457"/>
      <c r="G159" s="457"/>
      <c r="H159" s="457"/>
      <c r="I159" s="457"/>
      <c r="J159" s="457"/>
      <c r="K159" s="459"/>
      <c r="L159" s="372"/>
      <c r="M159" s="372"/>
      <c r="N159" s="372"/>
      <c r="O159" s="372"/>
      <c r="P159" s="372"/>
      <c r="Q159" s="372"/>
      <c r="R159" s="372"/>
      <c r="S159" s="372"/>
      <c r="T159" s="372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spans="1:32" ht="26.25" customHeight="1">
      <c r="A160" s="20"/>
      <c r="B160" s="200" t="str">
        <f>HYPERLINK("http://www.amare-moscow.ru/catalog/krevetki_b_g_vannamey/","Креветки ваннамей  б/г")</f>
        <v>Креветки ваннамей  б/г</v>
      </c>
      <c r="C160" s="22"/>
      <c r="D160" s="23" t="s">
        <v>28</v>
      </c>
      <c r="E160" s="23" t="s">
        <v>29</v>
      </c>
      <c r="F160" s="24" t="s">
        <v>30</v>
      </c>
      <c r="G160" s="23" t="s">
        <v>31</v>
      </c>
      <c r="H160" s="25" t="s">
        <v>32</v>
      </c>
      <c r="I160" s="24" t="s">
        <v>33</v>
      </c>
      <c r="J160" s="24" t="s">
        <v>34</v>
      </c>
      <c r="K160" s="23" t="s">
        <v>35</v>
      </c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</row>
    <row r="161" spans="1:32" ht="15" customHeight="1">
      <c r="A161" s="5"/>
      <c r="B161" s="150" t="str">
        <f t="shared" ref="B161:B162" si="14">HYPERLINK("http://www.amare-moscow.ru/catalog/krevetki_b_g_vannamey/krevetki_van_b_g_s_m_16_20_sht_v_funte_v_bloke_don_kreveton_1_8kg_6sht_indiya/","Креветки ван б/г с/м 16/20 во льду")</f>
        <v>Креветки ван б/г с/м 16/20 во льду</v>
      </c>
      <c r="C161" s="27"/>
      <c r="D161" s="28" t="s">
        <v>335</v>
      </c>
      <c r="E161" s="12" t="s">
        <v>336</v>
      </c>
      <c r="F161" s="29" t="s">
        <v>213</v>
      </c>
      <c r="G161" s="30" t="s">
        <v>668</v>
      </c>
      <c r="H161" s="13" t="s">
        <v>22</v>
      </c>
      <c r="I161" s="13">
        <v>950</v>
      </c>
      <c r="J161" s="30"/>
      <c r="K161" s="30">
        <f t="shared" ref="K161:K166" si="15">I161*J161</f>
        <v>0</v>
      </c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</row>
    <row r="162" spans="1:32" ht="15" customHeight="1">
      <c r="A162" s="5"/>
      <c r="B162" s="150" t="str">
        <f t="shared" si="14"/>
        <v>Креветки ван б/г с/м 16/20 во льду</v>
      </c>
      <c r="C162" s="27"/>
      <c r="D162" s="28" t="s">
        <v>335</v>
      </c>
      <c r="E162" s="12" t="s">
        <v>336</v>
      </c>
      <c r="F162" s="29" t="s">
        <v>213</v>
      </c>
      <c r="G162" s="30" t="s">
        <v>341</v>
      </c>
      <c r="H162" s="13" t="s">
        <v>22</v>
      </c>
      <c r="I162" s="13">
        <v>880</v>
      </c>
      <c r="J162" s="30"/>
      <c r="K162" s="30">
        <f t="shared" si="15"/>
        <v>0</v>
      </c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</row>
    <row r="163" spans="1:32" ht="15" customHeight="1">
      <c r="A163" s="5"/>
      <c r="B163" s="150" t="str">
        <f>HYPERLINK("http://www.amare-moscow.ru/catalog/krevetki_b_g_vannamey/krevetki_van_b_g_s_m_16_20_sht_v_funte_ind_zam_don_kreveton_1kg_10sht_indiya/","Креветки ван б/г с/м 16/20")</f>
        <v>Креветки ван б/г с/м 16/20</v>
      </c>
      <c r="C163" s="27"/>
      <c r="D163" s="28" t="s">
        <v>339</v>
      </c>
      <c r="E163" s="12" t="s">
        <v>220</v>
      </c>
      <c r="F163" s="29" t="s">
        <v>213</v>
      </c>
      <c r="G163" s="30" t="s">
        <v>668</v>
      </c>
      <c r="H163" s="13" t="s">
        <v>22</v>
      </c>
      <c r="I163" s="13">
        <v>930</v>
      </c>
      <c r="J163" s="30"/>
      <c r="K163" s="30">
        <f t="shared" si="15"/>
        <v>0</v>
      </c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</row>
    <row r="164" spans="1:32" ht="15" customHeight="1">
      <c r="A164" s="5"/>
      <c r="B164" s="150" t="str">
        <f>HYPERLINK("http://amare-moscow.ru/catalog/krevetki_b_g_vannamey/krevetki_van_b_g_s_m_16_20_sht_v_funte_ind_zam_don_kreveton_1kg_10sht_indoneziya/","Креветки ван б/г с/м 16/20")</f>
        <v>Креветки ван б/г с/м 16/20</v>
      </c>
      <c r="C164" s="27"/>
      <c r="D164" s="28" t="s">
        <v>339</v>
      </c>
      <c r="E164" s="12" t="s">
        <v>220</v>
      </c>
      <c r="F164" s="29" t="s">
        <v>213</v>
      </c>
      <c r="G164" s="30" t="s">
        <v>341</v>
      </c>
      <c r="H164" s="13" t="s">
        <v>22</v>
      </c>
      <c r="I164" s="13">
        <v>930</v>
      </c>
      <c r="J164" s="30"/>
      <c r="K164" s="30">
        <f t="shared" si="15"/>
        <v>0</v>
      </c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</row>
    <row r="165" spans="1:32" ht="15" customHeight="1">
      <c r="A165" s="5"/>
      <c r="B165" s="150" t="str">
        <f t="shared" ref="B165:B166" si="16">HYPERLINK("http://www.amare-moscow.ru/catalog/krevetki_b_g_vannamey/krevetki_van_b_g_s_m_16_20_sht_v_funte_v_bloke_don_kreveton_1_8kg_6sht_indiya/","Креветки ван б/г с/м 21/25 во льду")</f>
        <v>Креветки ван б/г с/м 21/25 во льду</v>
      </c>
      <c r="C165" s="27"/>
      <c r="D165" s="28" t="s">
        <v>335</v>
      </c>
      <c r="E165" s="12" t="s">
        <v>336</v>
      </c>
      <c r="F165" s="29" t="s">
        <v>213</v>
      </c>
      <c r="G165" s="30" t="s">
        <v>668</v>
      </c>
      <c r="H165" s="13" t="s">
        <v>22</v>
      </c>
      <c r="I165" s="13">
        <v>830</v>
      </c>
      <c r="J165" s="30"/>
      <c r="K165" s="30">
        <f t="shared" si="15"/>
        <v>0</v>
      </c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</row>
    <row r="166" spans="1:32" ht="15" customHeight="1">
      <c r="A166" s="5"/>
      <c r="B166" s="150" t="str">
        <f t="shared" si="16"/>
        <v>Креветки ван б/г с/м 21/25 во льду</v>
      </c>
      <c r="C166" s="156"/>
      <c r="D166" s="28" t="s">
        <v>335</v>
      </c>
      <c r="E166" s="12" t="s">
        <v>336</v>
      </c>
      <c r="F166" s="29" t="s">
        <v>213</v>
      </c>
      <c r="G166" s="30" t="s">
        <v>341</v>
      </c>
      <c r="H166" s="13" t="s">
        <v>22</v>
      </c>
      <c r="I166" s="13">
        <v>830</v>
      </c>
      <c r="J166" s="30"/>
      <c r="K166" s="30">
        <f t="shared" si="15"/>
        <v>0</v>
      </c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</row>
    <row r="167" spans="1:32" ht="15" customHeight="1">
      <c r="A167" s="5"/>
      <c r="B167" s="150" t="str">
        <f t="shared" ref="B167:B168" si="17">HYPERLINK("http://www.amare-moscow.ru/catalog/krevetki_b_g_vannamey/krevetki_van_b_g_s_m_16_20_sht_v_funte_v_bloke_don_kreveton_1_8kg_6sht_indiya/","Креветки ван б/г с/м 21/25 во льду Эконом")</f>
        <v>Креветки ван б/г с/м 21/25 во льду Эконом</v>
      </c>
      <c r="C167" s="156"/>
      <c r="D167" s="28" t="s">
        <v>335</v>
      </c>
      <c r="E167" s="12" t="s">
        <v>336</v>
      </c>
      <c r="F167" s="29" t="s">
        <v>213</v>
      </c>
      <c r="G167" s="30" t="s">
        <v>668</v>
      </c>
      <c r="H167" s="13" t="s">
        <v>22</v>
      </c>
      <c r="I167" s="13">
        <v>810</v>
      </c>
      <c r="J167" s="30"/>
      <c r="K167" s="30">
        <v>0</v>
      </c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</row>
    <row r="168" spans="1:32" ht="15" customHeight="1">
      <c r="A168" s="5"/>
      <c r="B168" s="150" t="str">
        <f t="shared" si="17"/>
        <v>Креветки ван б/г с/м 21/25 во льду Эконом</v>
      </c>
      <c r="C168" s="27"/>
      <c r="D168" s="28" t="s">
        <v>335</v>
      </c>
      <c r="E168" s="12" t="s">
        <v>336</v>
      </c>
      <c r="F168" s="29" t="s">
        <v>213</v>
      </c>
      <c r="G168" s="30" t="s">
        <v>341</v>
      </c>
      <c r="H168" s="13" t="s">
        <v>22</v>
      </c>
      <c r="I168" s="13">
        <v>810</v>
      </c>
      <c r="J168" s="30"/>
      <c r="K168" s="30">
        <f t="shared" ref="K168:K172" si="18">I168*J168</f>
        <v>0</v>
      </c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</row>
    <row r="169" spans="1:32" ht="15" customHeight="1">
      <c r="A169" s="5"/>
      <c r="B169" s="150" t="str">
        <f>HYPERLINK("http://www.amare-moscow.ru/catalog/krevetki_b_g_vannamey/krevetki_van_b_g_s_m_21_25_sht_v_funte_ind_zam_don_kreveton_1kg_10sht_indiya/","Креветки ван б/г с/м 21/25 ")</f>
        <v xml:space="preserve">Креветки ван б/г с/м 21/25 </v>
      </c>
      <c r="C169" s="27"/>
      <c r="D169" s="28" t="s">
        <v>339</v>
      </c>
      <c r="E169" s="12" t="s">
        <v>220</v>
      </c>
      <c r="F169" s="29" t="s">
        <v>213</v>
      </c>
      <c r="G169" s="30" t="s">
        <v>668</v>
      </c>
      <c r="H169" s="13" t="s">
        <v>22</v>
      </c>
      <c r="I169" s="13">
        <v>820</v>
      </c>
      <c r="J169" s="30"/>
      <c r="K169" s="30">
        <f t="shared" si="18"/>
        <v>0</v>
      </c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</row>
    <row r="170" spans="1:32" ht="15" customHeight="1">
      <c r="A170" s="399"/>
      <c r="B170" s="150" t="str">
        <f>HYPERLINK("http://amare-moscow.ru/catalog/krevetki_b_g_vannamey/krevetki_van_b_g_s_m_21_25_sht_v_funte_ind_zam_don_kreveton_1kg_10sht_indoneziya/","Креветки ван б/г с/м 21/25 ")</f>
        <v xml:space="preserve">Креветки ван б/г с/м 21/25 </v>
      </c>
      <c r="C170" s="27"/>
      <c r="D170" s="28" t="s">
        <v>339</v>
      </c>
      <c r="E170" s="12" t="s">
        <v>220</v>
      </c>
      <c r="F170" s="29" t="s">
        <v>213</v>
      </c>
      <c r="G170" s="30" t="s">
        <v>341</v>
      </c>
      <c r="H170" s="13" t="s">
        <v>22</v>
      </c>
      <c r="I170" s="13">
        <v>820</v>
      </c>
      <c r="J170" s="30"/>
      <c r="K170" s="30">
        <f t="shared" si="18"/>
        <v>0</v>
      </c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</row>
    <row r="171" spans="1:32" ht="15" customHeight="1">
      <c r="A171" s="399"/>
      <c r="B171" s="150" t="str">
        <f>HYPERLINK("http://www.amare-moscow.ru/catalog/krevetki_b_g_vannamey/krevetki_van_b_g_s_m_26_30_sht_v_funte_1kg_10sht_rossiya/","Креветки ван б/г с/м 26/30")</f>
        <v>Креветки ван б/г с/м 26/30</v>
      </c>
      <c r="C171" s="27"/>
      <c r="D171" s="28" t="s">
        <v>339</v>
      </c>
      <c r="E171" s="12" t="s">
        <v>220</v>
      </c>
      <c r="F171" s="29" t="s">
        <v>213</v>
      </c>
      <c r="G171" s="30" t="s">
        <v>668</v>
      </c>
      <c r="H171" s="13" t="s">
        <v>22</v>
      </c>
      <c r="I171" s="13">
        <v>750</v>
      </c>
      <c r="J171" s="30"/>
      <c r="K171" s="30">
        <f t="shared" si="18"/>
        <v>0</v>
      </c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</row>
    <row r="172" spans="1:32" ht="15" customHeight="1">
      <c r="A172" s="5"/>
      <c r="B172" s="150" t="str">
        <f>HYPERLINK("http://amare-moscow.ru/catalog/krevetki_b_g_vannamey/krevetki_van_b_g_s_m_26_30_sht_v_funte_ind_zam_don_kreveton_1kg_10sht_indoneziya/","Креветки ван б/г с/м 26/30")</f>
        <v>Креветки ван б/г с/м 26/30</v>
      </c>
      <c r="C172" s="27"/>
      <c r="D172" s="28" t="s">
        <v>339</v>
      </c>
      <c r="E172" s="12" t="s">
        <v>220</v>
      </c>
      <c r="F172" s="29" t="s">
        <v>213</v>
      </c>
      <c r="G172" s="30" t="s">
        <v>341</v>
      </c>
      <c r="H172" s="13" t="s">
        <v>22</v>
      </c>
      <c r="I172" s="13">
        <v>750</v>
      </c>
      <c r="J172" s="30"/>
      <c r="K172" s="30">
        <f t="shared" si="18"/>
        <v>0</v>
      </c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</row>
    <row r="173" spans="1:32" ht="15" customHeight="1">
      <c r="A173" s="5"/>
      <c r="B173" s="150" t="str">
        <f>HYPERLINK("http://www.amare-moscow.ru/catalog/krevetki_b_g_vannamey/krevetki_van_b_g_s_m_31_40_sht_v_funte_ind_zam_don_kreveton_1kg_10sht_indiya/","Креветки ван б/г с/м 31/40")</f>
        <v>Креветки ван б/г с/м 31/40</v>
      </c>
      <c r="C173" s="27"/>
      <c r="D173" s="28" t="s">
        <v>339</v>
      </c>
      <c r="E173" s="12" t="s">
        <v>220</v>
      </c>
      <c r="F173" s="29" t="s">
        <v>213</v>
      </c>
      <c r="G173" s="30" t="s">
        <v>668</v>
      </c>
      <c r="H173" s="13" t="s">
        <v>22</v>
      </c>
      <c r="I173" s="13" t="s">
        <v>143</v>
      </c>
      <c r="J173" s="30"/>
      <c r="K173" s="30">
        <v>0</v>
      </c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</row>
    <row r="174" spans="1:32" ht="15" customHeight="1">
      <c r="A174" s="5"/>
      <c r="B174" s="150" t="str">
        <f>HYPERLINK("http://www.amare-moscow.ru/catalog/krevetki_b_g_vannamey/krevetki_van_b_g_s_m_31_40_sht_v_funte_ind_zam_don_kreveton_1kg_10sht_kitay/","Креветки ван б/г с/м 31/40")</f>
        <v>Креветки ван б/г с/м 31/40</v>
      </c>
      <c r="C174" s="27"/>
      <c r="D174" s="28" t="s">
        <v>339</v>
      </c>
      <c r="E174" s="12" t="s">
        <v>220</v>
      </c>
      <c r="F174" s="29" t="s">
        <v>213</v>
      </c>
      <c r="G174" s="30" t="s">
        <v>214</v>
      </c>
      <c r="H174" s="13" t="s">
        <v>22</v>
      </c>
      <c r="I174" s="13" t="s">
        <v>143</v>
      </c>
      <c r="J174" s="30"/>
      <c r="K174" s="30">
        <v>0</v>
      </c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</row>
    <row r="175" spans="1:32" ht="26.25" customHeight="1">
      <c r="A175" s="20"/>
      <c r="B175" s="200" t="str">
        <f>HYPERLINK("http://www.amare-moscow.ru/catalog/krevetki_dikie/","Креветки аргентинские дикие")</f>
        <v>Креветки аргентинские дикие</v>
      </c>
      <c r="C175" s="22"/>
      <c r="D175" s="23" t="s">
        <v>28</v>
      </c>
      <c r="E175" s="23" t="s">
        <v>29</v>
      </c>
      <c r="F175" s="24" t="s">
        <v>30</v>
      </c>
      <c r="G175" s="23" t="s">
        <v>31</v>
      </c>
      <c r="H175" s="25" t="s">
        <v>32</v>
      </c>
      <c r="I175" s="24" t="s">
        <v>33</v>
      </c>
      <c r="J175" s="24" t="s">
        <v>34</v>
      </c>
      <c r="K175" s="23" t="s">
        <v>35</v>
      </c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</row>
    <row r="176" spans="1:32" ht="15" customHeight="1">
      <c r="A176" s="5"/>
      <c r="B176" s="170" t="str">
        <f>HYPERLINK("http://www.amare-moscow.ru/catalog/krevetki_dikie/krevetki_argentinskie_dikie_s_g_s_m_10_20_sht_v_kg_l1_ind_zam_don_kreveton_2_kg_6_sht_argentina/","Креветки арг с/г с/м L1 10/20 ")</f>
        <v xml:space="preserve">Креветки арг с/г с/м L1 10/20 </v>
      </c>
      <c r="C176" s="7"/>
      <c r="D176" s="67" t="s">
        <v>369</v>
      </c>
      <c r="E176" s="12"/>
      <c r="F176" s="10" t="s">
        <v>213</v>
      </c>
      <c r="G176" s="11" t="s">
        <v>373</v>
      </c>
      <c r="H176" s="13" t="s">
        <v>22</v>
      </c>
      <c r="I176" s="13">
        <v>505</v>
      </c>
      <c r="J176" s="11"/>
      <c r="K176" s="11">
        <v>0</v>
      </c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</row>
    <row r="177" spans="1:32" ht="15" customHeight="1">
      <c r="A177" s="5"/>
      <c r="B177" s="150" t="str">
        <f>HYPERLINK("http://www.amare-moscow.ru/catalog/krevetki_dikie/krevetki_argentinskie_dikie_s_g_s_m_21_30_sht_v_kg_l2_ind_zam_don_kreveton_2_kg_6_sht_argentina/","Креветки арг с/г с/м  L2  21/30")</f>
        <v>Креветки арг с/г с/м  L2  21/30</v>
      </c>
      <c r="C177" s="27"/>
      <c r="D177" s="28" t="s">
        <v>369</v>
      </c>
      <c r="E177" s="119"/>
      <c r="F177" s="29" t="s">
        <v>213</v>
      </c>
      <c r="G177" s="30" t="s">
        <v>373</v>
      </c>
      <c r="H177" s="217" t="s">
        <v>22</v>
      </c>
      <c r="I177" s="217" t="s">
        <v>143</v>
      </c>
      <c r="J177" s="30"/>
      <c r="K177" s="30">
        <v>0</v>
      </c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</row>
    <row r="178" spans="1:32" ht="15" customHeight="1">
      <c r="A178" s="5"/>
      <c r="B178" s="150" t="str">
        <f>HYPERLINK("http://www.amare-moscow.ru/catalog/krevetki_dikie/krevetki_argentinskie_dikie_b_g_s_m_31_50_sht_v_kg_c1_ind_zam_don_kreveton_2_kg_6_sht_argentina/","Креветки арг б/г с/м С 1 31/50")</f>
        <v>Креветки арг б/г с/м С 1 31/50</v>
      </c>
      <c r="C178" s="27"/>
      <c r="D178" s="28" t="s">
        <v>369</v>
      </c>
      <c r="E178" s="12"/>
      <c r="F178" s="29" t="s">
        <v>213</v>
      </c>
      <c r="G178" s="30" t="s">
        <v>373</v>
      </c>
      <c r="H178" s="13" t="s">
        <v>22</v>
      </c>
      <c r="I178" s="13" t="s">
        <v>143</v>
      </c>
      <c r="J178" s="30"/>
      <c r="K178" s="30">
        <v>0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</row>
    <row r="179" spans="1:32" ht="15" customHeight="1">
      <c r="A179" s="5"/>
      <c r="B179" s="150" t="str">
        <f>HYPERLINK("http://www.amare-moscow.ru/catalog/krevetki_dikie/krevetki_argentinskie_dikie_b_g_s_m_51_100_sht_v_kg_c2_ind_zam_don_kreveton_2_kg_6_sht_argentina/","Креветки арг б/г с/м С 2 51/100 ")</f>
        <v xml:space="preserve">Креветки арг б/г с/м С 2 51/100 </v>
      </c>
      <c r="C179" s="27"/>
      <c r="D179" s="28" t="s">
        <v>369</v>
      </c>
      <c r="E179" s="12"/>
      <c r="F179" s="29" t="s">
        <v>213</v>
      </c>
      <c r="G179" s="30" t="s">
        <v>373</v>
      </c>
      <c r="H179" s="13" t="s">
        <v>22</v>
      </c>
      <c r="I179" s="13">
        <v>770</v>
      </c>
      <c r="J179" s="30"/>
      <c r="K179" s="30">
        <f t="shared" ref="K179:K180" si="19">I179*J179</f>
        <v>0</v>
      </c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</row>
    <row r="180" spans="1:32" ht="15" customHeight="1">
      <c r="A180" s="5"/>
      <c r="B180" s="150" t="str">
        <f>HYPERLINK("http://www.amare-moscow.ru/catalog/krevetki_dikie/krevetki_argentinskie_dikie_ochishch_bez_veny_s_m_40_70_sht_v_kg_pd1_ind_zam_don_kreveton_11_34_kg_a/","Креветка арг очищ с/м без вены PD 1 40/70")</f>
        <v>Креветка арг очищ с/м без вены PD 1 40/70</v>
      </c>
      <c r="C180" s="27"/>
      <c r="D180" s="28" t="s">
        <v>116</v>
      </c>
      <c r="E180" s="12"/>
      <c r="F180" s="29" t="s">
        <v>213</v>
      </c>
      <c r="G180" s="30" t="s">
        <v>373</v>
      </c>
      <c r="H180" s="13" t="s">
        <v>22</v>
      </c>
      <c r="I180" s="13">
        <v>1090</v>
      </c>
      <c r="J180" s="30"/>
      <c r="K180" s="30">
        <f t="shared" si="19"/>
        <v>0</v>
      </c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</row>
    <row r="181" spans="1:32" ht="15" customHeight="1">
      <c r="A181" s="5"/>
      <c r="B181" s="150" t="str">
        <f>HYPERLINK("http://www.amare-moscow.ru/catalog/krevetki_dikie/krevetki_argentinskie_dikie_ochishch_bez_veny_s_m_70_90_sht_v_kg_pd2_ind_zam_don_kreveton_11_34_kg_a/","Креветка арг очищ с/м без вены PD 2  70/90")</f>
        <v>Креветка арг очищ с/м без вены PD 2  70/90</v>
      </c>
      <c r="C181" s="27"/>
      <c r="D181" s="28" t="s">
        <v>669</v>
      </c>
      <c r="E181" s="12"/>
      <c r="F181" s="29" t="s">
        <v>213</v>
      </c>
      <c r="G181" s="30" t="s">
        <v>373</v>
      </c>
      <c r="H181" s="13" t="s">
        <v>22</v>
      </c>
      <c r="I181" s="13" t="s">
        <v>670</v>
      </c>
      <c r="J181" s="30"/>
      <c r="K181" s="30">
        <v>0</v>
      </c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</row>
    <row r="182" spans="1:32" ht="26.25" customHeight="1">
      <c r="A182" s="95"/>
      <c r="B182" s="218" t="s">
        <v>374</v>
      </c>
      <c r="C182" s="22"/>
      <c r="D182" s="23" t="s">
        <v>28</v>
      </c>
      <c r="E182" s="23" t="s">
        <v>29</v>
      </c>
      <c r="F182" s="24" t="s">
        <v>30</v>
      </c>
      <c r="G182" s="23" t="s">
        <v>31</v>
      </c>
      <c r="H182" s="25" t="s">
        <v>32</v>
      </c>
      <c r="I182" s="24" t="s">
        <v>33</v>
      </c>
      <c r="J182" s="24" t="s">
        <v>34</v>
      </c>
      <c r="K182" s="23" t="s">
        <v>35</v>
      </c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</row>
    <row r="183" spans="1:32" ht="16.5" customHeight="1">
      <c r="A183" s="95"/>
      <c r="B183" s="156" t="s">
        <v>671</v>
      </c>
      <c r="C183" s="156"/>
      <c r="D183" s="28" t="s">
        <v>61</v>
      </c>
      <c r="E183" s="156"/>
      <c r="F183" s="29" t="s">
        <v>213</v>
      </c>
      <c r="G183" s="30" t="s">
        <v>305</v>
      </c>
      <c r="H183" s="13" t="s">
        <v>22</v>
      </c>
      <c r="I183" s="13">
        <v>505</v>
      </c>
      <c r="J183" s="156"/>
      <c r="K183" s="30">
        <v>0</v>
      </c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</row>
    <row r="184" spans="1:32" ht="15.75" customHeight="1">
      <c r="A184" s="95"/>
      <c r="B184" s="156" t="s">
        <v>672</v>
      </c>
      <c r="C184" s="156"/>
      <c r="D184" s="28" t="s">
        <v>61</v>
      </c>
      <c r="E184" s="156"/>
      <c r="F184" s="29" t="s">
        <v>213</v>
      </c>
      <c r="G184" s="30" t="s">
        <v>305</v>
      </c>
      <c r="H184" s="13" t="s">
        <v>22</v>
      </c>
      <c r="I184" s="13">
        <v>375</v>
      </c>
      <c r="J184" s="156"/>
      <c r="K184" s="30">
        <v>0</v>
      </c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</row>
    <row r="185" spans="1:32" ht="26.25" customHeight="1">
      <c r="A185" s="20"/>
      <c r="B185" s="32" t="str">
        <f>HYPERLINK("http://www.amare-moscow.ru/catalog/krevetki_ochishchennye_/","Креветки очищенные бланшированные")</f>
        <v>Креветки очищенные бланшированные</v>
      </c>
      <c r="C185" s="22"/>
      <c r="D185" s="23" t="s">
        <v>28</v>
      </c>
      <c r="E185" s="23" t="s">
        <v>29</v>
      </c>
      <c r="F185" s="24" t="s">
        <v>30</v>
      </c>
      <c r="G185" s="23" t="s">
        <v>31</v>
      </c>
      <c r="H185" s="25" t="s">
        <v>32</v>
      </c>
      <c r="I185" s="24" t="s">
        <v>33</v>
      </c>
      <c r="J185" s="24" t="s">
        <v>34</v>
      </c>
      <c r="K185" s="23" t="s">
        <v>35</v>
      </c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</row>
    <row r="186" spans="1:32" ht="15" customHeight="1">
      <c r="A186" s="5"/>
      <c r="B186" s="400" t="str">
        <f>HYPERLINK("http://www.amare-moscow.ru/catalog/krevetki_ochishchennye_/krevetki_van_ochishch_s_khv_blansh_31_40_sht_v_funte_ind_zam_don_kreveton_1kg_10sht_kitay/","Креветки ваннамей очищ с хв 31/40")</f>
        <v>Креветки ваннамей очищ с хв 31/40</v>
      </c>
      <c r="C186" s="401"/>
      <c r="D186" s="402" t="s">
        <v>339</v>
      </c>
      <c r="E186" s="403" t="s">
        <v>220</v>
      </c>
      <c r="F186" s="404" t="s">
        <v>213</v>
      </c>
      <c r="G186" s="405" t="s">
        <v>341</v>
      </c>
      <c r="H186" s="406" t="s">
        <v>22</v>
      </c>
      <c r="I186" s="406">
        <v>950</v>
      </c>
      <c r="J186" s="405"/>
      <c r="K186" s="405">
        <v>0</v>
      </c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</row>
    <row r="187" spans="1:32" ht="15" customHeight="1">
      <c r="A187" s="5"/>
      <c r="B187" s="150" t="str">
        <f>HYPERLINK("http://www.amare-moscow.ru/catalog/krevetki_ochishchennye_/krevetki_van_ochishch_s_khv_blansh_31_40_sht_v_funte_ind_zam_don_kreveton_1kg_10sht_indiya/","Креветки ваннамей очищ с хв 31/40")</f>
        <v>Креветки ваннамей очищ с хв 31/40</v>
      </c>
      <c r="C187" s="27"/>
      <c r="D187" s="28" t="s">
        <v>339</v>
      </c>
      <c r="E187" s="12" t="s">
        <v>220</v>
      </c>
      <c r="F187" s="29" t="s">
        <v>213</v>
      </c>
      <c r="G187" s="30" t="s">
        <v>668</v>
      </c>
      <c r="H187" s="13" t="s">
        <v>22</v>
      </c>
      <c r="I187" s="13" t="s">
        <v>143</v>
      </c>
      <c r="J187" s="30"/>
      <c r="K187" s="30">
        <v>0</v>
      </c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</row>
    <row r="188" spans="1:32" ht="15" customHeight="1">
      <c r="A188" s="5"/>
      <c r="B188" s="150" t="str">
        <f>HYPERLINK("http://www.amare-moscow.ru/catalog/krevetki_ochishchennye_/krevetki_van_ochishch_s_khv_blansh_41_50_sht_v_funte_ind_zam_don_kreveton_1kg_10sht_kitay/","Креветки ваннамей очищ с хв 41/50")</f>
        <v>Креветки ваннамей очищ с хв 41/50</v>
      </c>
      <c r="C188" s="27"/>
      <c r="D188" s="28" t="s">
        <v>339</v>
      </c>
      <c r="E188" s="12" t="s">
        <v>220</v>
      </c>
      <c r="F188" s="29" t="s">
        <v>213</v>
      </c>
      <c r="G188" s="30" t="s">
        <v>214</v>
      </c>
      <c r="H188" s="13" t="s">
        <v>22</v>
      </c>
      <c r="I188" s="13" t="s">
        <v>143</v>
      </c>
      <c r="J188" s="30"/>
      <c r="K188" s="30">
        <v>0</v>
      </c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</row>
    <row r="189" spans="1:32" ht="15" customHeight="1">
      <c r="A189" s="5"/>
      <c r="B189" s="150" t="str">
        <f>HYPERLINK("http://www.amare-moscow.ru/catalog/krevetki_ochishchennye_/krevetki_van_ochishch_s_khv_blansh_41_50_sht_v_funte_ind_zam_don_kreveton_1kg_10sht_indiya/","Креветки ваннамей очищ с хв 41/50")</f>
        <v>Креветки ваннамей очищ с хв 41/50</v>
      </c>
      <c r="C189" s="27"/>
      <c r="D189" s="28" t="s">
        <v>339</v>
      </c>
      <c r="E189" s="12" t="s">
        <v>220</v>
      </c>
      <c r="F189" s="29" t="s">
        <v>213</v>
      </c>
      <c r="G189" s="30" t="s">
        <v>668</v>
      </c>
      <c r="H189" s="13" t="s">
        <v>22</v>
      </c>
      <c r="I189" s="13" t="s">
        <v>143</v>
      </c>
      <c r="J189" s="30"/>
      <c r="K189" s="30">
        <v>0</v>
      </c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</row>
    <row r="190" spans="1:32" ht="15" customHeight="1">
      <c r="A190" s="5"/>
      <c r="B190" s="156" t="s">
        <v>673</v>
      </c>
      <c r="C190" s="27"/>
      <c r="D190" s="28" t="s">
        <v>339</v>
      </c>
      <c r="E190" s="12" t="s">
        <v>220</v>
      </c>
      <c r="F190" s="29" t="s">
        <v>213</v>
      </c>
      <c r="G190" s="30" t="s">
        <v>341</v>
      </c>
      <c r="H190" s="138" t="s">
        <v>22</v>
      </c>
      <c r="I190" s="138">
        <v>750</v>
      </c>
      <c r="J190" s="169"/>
      <c r="K190" s="30">
        <f t="shared" ref="K190:K191" si="20">I190*J190</f>
        <v>0</v>
      </c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</row>
    <row r="191" spans="1:32" ht="15" customHeight="1">
      <c r="A191" s="5"/>
      <c r="B191" s="156" t="s">
        <v>674</v>
      </c>
      <c r="C191" s="27"/>
      <c r="D191" s="28" t="s">
        <v>339</v>
      </c>
      <c r="E191" s="12" t="s">
        <v>220</v>
      </c>
      <c r="F191" s="29" t="s">
        <v>213</v>
      </c>
      <c r="G191" s="30" t="s">
        <v>341</v>
      </c>
      <c r="H191" s="138" t="s">
        <v>22</v>
      </c>
      <c r="I191" s="138">
        <v>710</v>
      </c>
      <c r="J191" s="169"/>
      <c r="K191" s="30">
        <f t="shared" si="20"/>
        <v>0</v>
      </c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</row>
    <row r="192" spans="1:32" ht="15" customHeight="1">
      <c r="A192" s="5"/>
      <c r="B192" s="156" t="s">
        <v>675</v>
      </c>
      <c r="C192" s="27"/>
      <c r="D192" s="28" t="s">
        <v>339</v>
      </c>
      <c r="E192" s="12" t="s">
        <v>220</v>
      </c>
      <c r="F192" s="29" t="s">
        <v>346</v>
      </c>
      <c r="G192" s="30" t="s">
        <v>341</v>
      </c>
      <c r="H192" s="13" t="s">
        <v>22</v>
      </c>
      <c r="I192" s="13" t="s">
        <v>143</v>
      </c>
      <c r="J192" s="30"/>
      <c r="K192" s="30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</row>
    <row r="193" spans="1:32" ht="15" customHeight="1">
      <c r="A193" s="5"/>
      <c r="B193" s="150" t="str">
        <f>HYPERLINK("http://www.amare-moscow.ru/catalog/krevetki_ochishchennye_/krevetki_teplov_ochishch_blansh_100_200_sht_v_funte_ind_zam_don_kreveton_1kg_10sht_indiya/","Креветки очищ 100/200")</f>
        <v>Креветки очищ 100/200</v>
      </c>
      <c r="C193" s="27"/>
      <c r="D193" s="28" t="s">
        <v>339</v>
      </c>
      <c r="E193" s="12" t="s">
        <v>220</v>
      </c>
      <c r="F193" s="29" t="s">
        <v>213</v>
      </c>
      <c r="G193" s="30" t="s">
        <v>668</v>
      </c>
      <c r="H193" s="13" t="s">
        <v>22</v>
      </c>
      <c r="I193" s="13">
        <v>645</v>
      </c>
      <c r="J193" s="30"/>
      <c r="K193" s="30">
        <f t="shared" ref="K193:K194" si="21">I193*J193</f>
        <v>0</v>
      </c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</row>
    <row r="194" spans="1:32" ht="15" customHeight="1">
      <c r="A194" s="268"/>
      <c r="B194" s="156" t="s">
        <v>676</v>
      </c>
      <c r="C194" s="27"/>
      <c r="D194" s="28" t="s">
        <v>339</v>
      </c>
      <c r="E194" s="12" t="s">
        <v>220</v>
      </c>
      <c r="F194" s="29" t="s">
        <v>346</v>
      </c>
      <c r="G194" s="30" t="s">
        <v>341</v>
      </c>
      <c r="H194" s="13" t="s">
        <v>22</v>
      </c>
      <c r="I194" s="13">
        <v>650</v>
      </c>
      <c r="J194" s="30"/>
      <c r="K194" s="30">
        <f t="shared" si="21"/>
        <v>0</v>
      </c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</row>
    <row r="195" spans="1:32" ht="15" customHeight="1">
      <c r="A195" s="5"/>
      <c r="B195" s="150" t="str">
        <f>HYPERLINK("http://www.amare-moscow.ru/catalog/krevetki_ochishchennye_/krevetki_teplov_ochishch_blansh_200_300_sht_v_funte_ind_zam_don_kreveton_1kg_10sht_indiya/","Креветки очищ 200/300")</f>
        <v>Креветки очищ 200/300</v>
      </c>
      <c r="C195" s="27"/>
      <c r="D195" s="28" t="s">
        <v>339</v>
      </c>
      <c r="E195" s="12" t="s">
        <v>220</v>
      </c>
      <c r="F195" s="29" t="s">
        <v>213</v>
      </c>
      <c r="G195" s="30" t="s">
        <v>668</v>
      </c>
      <c r="H195" s="13" t="s">
        <v>22</v>
      </c>
      <c r="I195" s="13">
        <v>605</v>
      </c>
      <c r="J195" s="30"/>
      <c r="K195" s="30">
        <v>0</v>
      </c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</row>
    <row r="196" spans="1:32" ht="26.25" customHeight="1">
      <c r="A196" s="20"/>
      <c r="B196" s="200" t="str">
        <f>HYPERLINK("http://www.amare-moscow.ru/catalog/krevetki_chernye_tigrovye_/","Креветки черные тигровые")</f>
        <v>Креветки черные тигровые</v>
      </c>
      <c r="C196" s="22"/>
      <c r="D196" s="23" t="s">
        <v>28</v>
      </c>
      <c r="E196" s="23" t="s">
        <v>29</v>
      </c>
      <c r="F196" s="24" t="s">
        <v>30</v>
      </c>
      <c r="G196" s="23" t="s">
        <v>31</v>
      </c>
      <c r="H196" s="25" t="s">
        <v>32</v>
      </c>
      <c r="I196" s="24" t="s">
        <v>33</v>
      </c>
      <c r="J196" s="24" t="s">
        <v>34</v>
      </c>
      <c r="K196" s="23" t="s">
        <v>35</v>
      </c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</row>
    <row r="197" spans="1:32" ht="15" customHeight="1">
      <c r="A197" s="5"/>
      <c r="B197" s="150" t="str">
        <f>HYPERLINK("http://www.amare-moscow.ru/catalog/krevetki_chernye_tigrovye_/krevetki_tigr_b_g_s_m_16_20_sht_v_funte_ind_zam_don_kreveton_1kg_10sht_bangladesh/","Креветки тигр 16/20 с/г с/м")</f>
        <v>Креветки тигр 16/20 с/г с/м</v>
      </c>
      <c r="C197" s="27"/>
      <c r="D197" s="28" t="s">
        <v>339</v>
      </c>
      <c r="E197" s="12" t="s">
        <v>220</v>
      </c>
      <c r="F197" s="29" t="s">
        <v>213</v>
      </c>
      <c r="G197" s="30" t="s">
        <v>677</v>
      </c>
      <c r="H197" s="13" t="s">
        <v>22</v>
      </c>
      <c r="I197" s="13">
        <v>930</v>
      </c>
      <c r="J197" s="30"/>
      <c r="K197" s="30">
        <f>I197*J197</f>
        <v>0</v>
      </c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</row>
    <row r="198" spans="1:32">
      <c r="A198" s="458" t="str">
        <f>HYPERLINK("http://www.amare-moscow.ru/catalog/mollyuski/","Моллюски")</f>
        <v>Моллюски</v>
      </c>
      <c r="B198" s="457"/>
      <c r="C198" s="457"/>
      <c r="D198" s="457"/>
      <c r="E198" s="457"/>
      <c r="F198" s="457"/>
      <c r="G198" s="457"/>
      <c r="H198" s="457"/>
      <c r="I198" s="457"/>
      <c r="J198" s="457"/>
      <c r="K198" s="459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</row>
    <row r="199" spans="1:32" ht="26.25" customHeight="1">
      <c r="A199" s="20"/>
      <c r="B199" s="200" t="str">
        <f>HYPERLINK("http://www.amare-moscow.ru/catalog/grebeshok/","Гребешок")</f>
        <v>Гребешок</v>
      </c>
      <c r="C199" s="22"/>
      <c r="D199" s="23" t="s">
        <v>28</v>
      </c>
      <c r="E199" s="23" t="s">
        <v>29</v>
      </c>
      <c r="F199" s="24" t="s">
        <v>30</v>
      </c>
      <c r="G199" s="23" t="s">
        <v>31</v>
      </c>
      <c r="H199" s="25" t="s">
        <v>32</v>
      </c>
      <c r="I199" s="24" t="s">
        <v>33</v>
      </c>
      <c r="J199" s="24" t="s">
        <v>34</v>
      </c>
      <c r="K199" s="23" t="s">
        <v>35</v>
      </c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</row>
    <row r="200" spans="1:32" ht="15" customHeight="1">
      <c r="A200" s="5"/>
      <c r="B200" s="150" t="str">
        <f>HYPERLINK("http://www.amare-moscow.ru/catalog/grebeshok/grebeshok_file_s_m_10_20_sht_v_funte_don_kreveton_1kg_10sht_rossiya/","Гребешок филе 10/20 с/м")</f>
        <v>Гребешок филе 10/20 с/м</v>
      </c>
      <c r="C200" s="27"/>
      <c r="D200" s="28" t="s">
        <v>339</v>
      </c>
      <c r="E200" s="12" t="s">
        <v>241</v>
      </c>
      <c r="F200" s="29" t="s">
        <v>39</v>
      </c>
      <c r="G200" s="30" t="s">
        <v>384</v>
      </c>
      <c r="H200" s="13" t="s">
        <v>22</v>
      </c>
      <c r="I200" s="13">
        <v>1730</v>
      </c>
      <c r="J200" s="30"/>
      <c r="K200" s="30">
        <f t="shared" ref="K200:K202" si="22">I200*J200</f>
        <v>0</v>
      </c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</row>
    <row r="201" spans="1:32" ht="15" customHeight="1">
      <c r="A201" s="5"/>
      <c r="B201" s="150" t="str">
        <f>HYPERLINK("http://www.amare-moscow.ru/catalog/grebeshok/grebeshok_file_s_m_20_30_sht_v_funte_don_kreveton_1kg_10sht_rossiya/","Гребешок филе 20/30 с/м")</f>
        <v>Гребешок филе 20/30 с/м</v>
      </c>
      <c r="C201" s="27"/>
      <c r="D201" s="28" t="s">
        <v>339</v>
      </c>
      <c r="E201" s="12" t="s">
        <v>241</v>
      </c>
      <c r="F201" s="29" t="s">
        <v>39</v>
      </c>
      <c r="G201" s="30" t="s">
        <v>384</v>
      </c>
      <c r="H201" s="13" t="s">
        <v>22</v>
      </c>
      <c r="I201" s="13">
        <v>1400</v>
      </c>
      <c r="J201" s="30"/>
      <c r="K201" s="30">
        <f t="shared" si="22"/>
        <v>0</v>
      </c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</row>
    <row r="202" spans="1:32" ht="15" customHeight="1">
      <c r="A202" s="5"/>
      <c r="B202" s="156" t="s">
        <v>678</v>
      </c>
      <c r="C202" s="27"/>
      <c r="D202" s="28" t="s">
        <v>413</v>
      </c>
      <c r="E202" s="12" t="s">
        <v>383</v>
      </c>
      <c r="F202" s="29" t="s">
        <v>39</v>
      </c>
      <c r="G202" s="30" t="s">
        <v>384</v>
      </c>
      <c r="H202" s="13" t="s">
        <v>22</v>
      </c>
      <c r="I202" s="13">
        <v>1345</v>
      </c>
      <c r="J202" s="30"/>
      <c r="K202" s="30">
        <f t="shared" si="22"/>
        <v>0</v>
      </c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</row>
    <row r="203" spans="1:32" ht="26.25" customHeight="1">
      <c r="A203" s="20"/>
      <c r="B203" s="200" t="str">
        <f>HYPERLINK("http://www.amare-moscow.ru/catalog/midii/","Мидии")</f>
        <v>Мидии</v>
      </c>
      <c r="C203" s="22"/>
      <c r="D203" s="23" t="s">
        <v>28</v>
      </c>
      <c r="E203" s="23" t="s">
        <v>29</v>
      </c>
      <c r="F203" s="24" t="s">
        <v>30</v>
      </c>
      <c r="G203" s="23" t="s">
        <v>31</v>
      </c>
      <c r="H203" s="25" t="s">
        <v>32</v>
      </c>
      <c r="I203" s="24" t="s">
        <v>33</v>
      </c>
      <c r="J203" s="24" t="s">
        <v>34</v>
      </c>
      <c r="K203" s="23" t="s">
        <v>35</v>
      </c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</row>
    <row r="204" spans="1:32" ht="15" customHeight="1">
      <c r="A204" s="5"/>
      <c r="B204" s="150" t="str">
        <f t="shared" ref="B204:B205" si="23">HYPERLINK("http://www.amare-moscow.ru/catalog/midii/midii_v_1_2_rakovine_v_m_40_60_sht_v_kg_don_kreveton_1kg_10sht_chili/","Мидии в 1/2 раковине в/м 40/60")</f>
        <v>Мидии в 1/2 раковине в/м 40/60</v>
      </c>
      <c r="C204" s="156"/>
      <c r="D204" s="28" t="s">
        <v>339</v>
      </c>
      <c r="E204" s="12" t="s">
        <v>679</v>
      </c>
      <c r="F204" s="29" t="s">
        <v>213</v>
      </c>
      <c r="G204" s="30" t="s">
        <v>389</v>
      </c>
      <c r="H204" s="13" t="s">
        <v>22</v>
      </c>
      <c r="I204" s="13" t="s">
        <v>143</v>
      </c>
      <c r="J204" s="30"/>
      <c r="K204" s="30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</row>
    <row r="205" spans="1:32" ht="15" customHeight="1">
      <c r="A205" s="5"/>
      <c r="B205" s="150" t="str">
        <f t="shared" si="23"/>
        <v>Мидии в 1/2 раковине в/м 40/60</v>
      </c>
      <c r="C205" s="27"/>
      <c r="D205" s="28" t="s">
        <v>388</v>
      </c>
      <c r="E205" s="30" t="s">
        <v>383</v>
      </c>
      <c r="F205" s="169" t="s">
        <v>346</v>
      </c>
      <c r="G205" s="30" t="s">
        <v>389</v>
      </c>
      <c r="H205" s="407" t="s">
        <v>22</v>
      </c>
      <c r="I205" s="13" t="s">
        <v>143</v>
      </c>
      <c r="J205" s="30"/>
      <c r="K205" s="30">
        <v>0</v>
      </c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</row>
    <row r="206" spans="1:32" ht="15" customHeight="1">
      <c r="A206" s="5"/>
      <c r="B206" s="150" t="str">
        <f>HYPERLINK("http://www.amare-moscow.ru/catalog/midii/midii_v_rakovine_v_m_40_60_sht_v_kg_v_u_don_kreveton_1kg_5sht_chili/","Мидии в раковине 40/60 в/м в/у ")</f>
        <v xml:space="preserve">Мидии в раковине 40/60 в/м в/у </v>
      </c>
      <c r="C206" s="27"/>
      <c r="D206" s="28" t="s">
        <v>680</v>
      </c>
      <c r="E206" s="12" t="s">
        <v>392</v>
      </c>
      <c r="F206" s="29" t="s">
        <v>213</v>
      </c>
      <c r="G206" s="30" t="s">
        <v>393</v>
      </c>
      <c r="H206" s="13" t="s">
        <v>22</v>
      </c>
      <c r="I206" s="13">
        <v>235</v>
      </c>
      <c r="J206" s="30"/>
      <c r="K206" s="30">
        <f>I206*J206</f>
        <v>0</v>
      </c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</row>
    <row r="207" spans="1:32" ht="15" customHeight="1">
      <c r="A207" s="5"/>
      <c r="B207" s="150" t="str">
        <f>HYPERLINK("http://www.amare-moscow.ru/catalog/midii/midii_v_rakovine_v_souse_iz_belogo_vina_v_m_40_60_sht_v_kg_v_u_don_kreveton_0_5_kg_10_sht_chili/","Мидии в раковине в соусе из белого вина 50/70 в/м в/у   ")</f>
        <v xml:space="preserve">Мидии в раковине в соусе из белого вина 50/70 в/м в/у   </v>
      </c>
      <c r="C207" s="27"/>
      <c r="D207" s="28" t="s">
        <v>451</v>
      </c>
      <c r="E207" s="377" t="s">
        <v>681</v>
      </c>
      <c r="F207" s="29" t="s">
        <v>213</v>
      </c>
      <c r="G207" s="30" t="s">
        <v>389</v>
      </c>
      <c r="H207" s="13" t="s">
        <v>22</v>
      </c>
      <c r="I207" s="13" t="s">
        <v>143</v>
      </c>
      <c r="J207" s="30"/>
      <c r="K207" s="30">
        <v>0</v>
      </c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</row>
    <row r="208" spans="1:32" ht="15" customHeight="1">
      <c r="A208" s="5"/>
      <c r="B208" s="150" t="str">
        <f>HYPERLINK("http://www.amare-moscow.ru/catalog/midii/midii_v_rakovine_v_tomatno_chesnochnom_souse_v_m_40_60_sht_v_kg_v_u_don_kreveton_0_5_kg_10_sht_chili/","Мидии в раковине в сливочно-чесночном соусе 50/70 в/м в/у  ")</f>
        <v xml:space="preserve">Мидии в раковине в сливочно-чесночном соусе 50/70 в/м в/у  </v>
      </c>
      <c r="C208" s="27"/>
      <c r="D208" s="28" t="s">
        <v>451</v>
      </c>
      <c r="E208" s="377" t="s">
        <v>681</v>
      </c>
      <c r="F208" s="29" t="s">
        <v>213</v>
      </c>
      <c r="G208" s="30" t="s">
        <v>389</v>
      </c>
      <c r="H208" s="13" t="s">
        <v>22</v>
      </c>
      <c r="I208" s="13" t="s">
        <v>143</v>
      </c>
      <c r="J208" s="30"/>
      <c r="K208" s="30">
        <v>0</v>
      </c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</row>
    <row r="209" spans="1:32" ht="15" customHeight="1">
      <c r="A209" s="5"/>
      <c r="B209" s="150" t="str">
        <f>HYPERLINK("http://www.amare-moscow.ru/catalog/midii/midii_v_rakovine_v_tomatno_chesnochnom_souse_v_m_40_60_sht_v_kg_v_u_don_kreveton_0_5_kg_10_sht_chili/","Мидии в раковине в томатно-чесночном соусе 50/70 в/м в/у  ")</f>
        <v xml:space="preserve">Мидии в раковине в томатно-чесночном соусе 50/70 в/м в/у  </v>
      </c>
      <c r="C209" s="27"/>
      <c r="D209" s="28" t="s">
        <v>451</v>
      </c>
      <c r="E209" s="377" t="s">
        <v>681</v>
      </c>
      <c r="F209" s="29" t="s">
        <v>213</v>
      </c>
      <c r="G209" s="30" t="s">
        <v>389</v>
      </c>
      <c r="H209" s="13" t="s">
        <v>22</v>
      </c>
      <c r="I209" s="13" t="s">
        <v>143</v>
      </c>
      <c r="J209" s="30"/>
      <c r="K209" s="30">
        <v>0</v>
      </c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</row>
    <row r="210" spans="1:32" ht="23.25" customHeight="1">
      <c r="A210" s="5"/>
      <c r="B210" s="150" t="str">
        <f>HYPERLINK("http://amare-moscow.ru/catalog/midii/midii_v_rakovine_v_m_50_70_sht_v_kg_v_u_don_kreveton_1kg_5sht_chili/","Мидии в раковине50/70 в/м в/у")</f>
        <v>Мидии в раковине50/70 в/м в/у</v>
      </c>
      <c r="C210" s="27"/>
      <c r="D210" s="28" t="s">
        <v>682</v>
      </c>
      <c r="E210" s="12" t="s">
        <v>392</v>
      </c>
      <c r="F210" s="29" t="s">
        <v>213</v>
      </c>
      <c r="G210" s="30" t="s">
        <v>389</v>
      </c>
      <c r="H210" s="13" t="s">
        <v>22</v>
      </c>
      <c r="I210" s="13" t="s">
        <v>143</v>
      </c>
      <c r="J210" s="30"/>
      <c r="K210" s="30">
        <v>0</v>
      </c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</row>
    <row r="211" spans="1:32" ht="15" customHeight="1">
      <c r="A211" s="5"/>
      <c r="B211" s="156" t="s">
        <v>397</v>
      </c>
      <c r="C211" s="27"/>
      <c r="D211" s="28" t="s">
        <v>420</v>
      </c>
      <c r="E211" s="12" t="s">
        <v>392</v>
      </c>
      <c r="F211" s="29" t="s">
        <v>213</v>
      </c>
      <c r="G211" s="30" t="s">
        <v>398</v>
      </c>
      <c r="H211" s="13" t="s">
        <v>22</v>
      </c>
      <c r="I211" s="217">
        <v>810</v>
      </c>
      <c r="J211" s="30"/>
      <c r="K211" s="30">
        <f>I211*J211</f>
        <v>0</v>
      </c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</row>
    <row r="212" spans="1:32" ht="15" customHeight="1">
      <c r="A212" s="5"/>
      <c r="B212" s="150" t="str">
        <f t="shared" ref="B212:B213" si="24">HYPERLINK("http://www.amare-moscow.ru/catalog/midii/myaso_midiy_v_m_100_200_sht_v_kg_10_kg_chili/","Мясо мидий 100/200 в/м")</f>
        <v>Мясо мидий 100/200 в/м</v>
      </c>
      <c r="C212" s="27"/>
      <c r="D212" s="28" t="s">
        <v>406</v>
      </c>
      <c r="E212" s="12" t="s">
        <v>383</v>
      </c>
      <c r="F212" s="29" t="s">
        <v>213</v>
      </c>
      <c r="G212" s="30" t="s">
        <v>393</v>
      </c>
      <c r="H212" s="13" t="s">
        <v>22</v>
      </c>
      <c r="I212" s="13" t="s">
        <v>143</v>
      </c>
      <c r="J212" s="30"/>
      <c r="K212" s="30">
        <v>0</v>
      </c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</row>
    <row r="213" spans="1:32" ht="15" customHeight="1">
      <c r="A213" s="5"/>
      <c r="B213" s="150" t="str">
        <f t="shared" si="24"/>
        <v>Мясо мидий 100/200 в/м</v>
      </c>
      <c r="C213" s="27"/>
      <c r="D213" s="28" t="s">
        <v>406</v>
      </c>
      <c r="E213" s="119" t="s">
        <v>383</v>
      </c>
      <c r="F213" s="29" t="s">
        <v>404</v>
      </c>
      <c r="G213" s="30" t="s">
        <v>389</v>
      </c>
      <c r="H213" s="217" t="s">
        <v>22</v>
      </c>
      <c r="I213" s="217">
        <v>350</v>
      </c>
      <c r="J213" s="30"/>
      <c r="K213" s="30">
        <v>0</v>
      </c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</row>
    <row r="214" spans="1:32" ht="15" customHeight="1">
      <c r="A214" s="5"/>
      <c r="B214" s="150" t="str">
        <f>HYPERLINK("http://www.amare-moscow.ru/catalog/mollyuski/myaso_midiy_v_m_200_300_sht_v_kg_don_kreveton_10_kg_chili/","Мясо мидий 200/300 в/м")</f>
        <v>Мясо мидий 200/300 в/м</v>
      </c>
      <c r="C214" s="27"/>
      <c r="D214" s="28" t="s">
        <v>116</v>
      </c>
      <c r="E214" s="12" t="s">
        <v>383</v>
      </c>
      <c r="F214" s="29" t="s">
        <v>213</v>
      </c>
      <c r="G214" s="30" t="s">
        <v>389</v>
      </c>
      <c r="H214" s="13" t="s">
        <v>22</v>
      </c>
      <c r="I214" s="13">
        <v>340</v>
      </c>
      <c r="J214" s="30"/>
      <c r="K214" s="30">
        <v>0</v>
      </c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</row>
    <row r="215" spans="1:32" ht="15" customHeight="1">
      <c r="A215" s="5"/>
      <c r="B215" s="150" t="str">
        <f>HYPERLINK("http://www.amare-moscow.ru/catalog/midii/myaso_midiy_v_m_300_500_sht_v_kg_don_kreveton_10_kg_chili/","Мясо мидий 300/500 в/м")</f>
        <v>Мясо мидий 300/500 в/м</v>
      </c>
      <c r="C215" s="27"/>
      <c r="D215" s="28" t="s">
        <v>406</v>
      </c>
      <c r="E215" s="12" t="s">
        <v>383</v>
      </c>
      <c r="F215" s="29" t="s">
        <v>213</v>
      </c>
      <c r="G215" s="30" t="s">
        <v>389</v>
      </c>
      <c r="H215" s="13" t="s">
        <v>22</v>
      </c>
      <c r="I215" s="13">
        <v>330</v>
      </c>
      <c r="J215" s="30"/>
      <c r="K215" s="30">
        <v>0</v>
      </c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</row>
    <row r="216" spans="1:32" ht="15" customHeight="1">
      <c r="A216" s="5"/>
      <c r="B216" s="150" t="str">
        <f>HYPERLINK("http://www.amare-moscow.ru/catalog/midii/myaso_midiy_v_m_200_300_sht_v_kg_don_kreveton_1kg_10sht_kitay/","Мясо мидий 200/300 в/м")</f>
        <v>Мясо мидий 200/300 в/м</v>
      </c>
      <c r="C216" s="27"/>
      <c r="D216" s="28" t="s">
        <v>339</v>
      </c>
      <c r="E216" s="119" t="s">
        <v>383</v>
      </c>
      <c r="F216" s="29" t="s">
        <v>213</v>
      </c>
      <c r="G216" s="30" t="s">
        <v>214</v>
      </c>
      <c r="H216" s="217" t="s">
        <v>22</v>
      </c>
      <c r="I216" s="217" t="s">
        <v>143</v>
      </c>
      <c r="J216" s="30"/>
      <c r="K216" s="30">
        <v>0</v>
      </c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</row>
    <row r="217" spans="1:32" ht="15" customHeight="1">
      <c r="A217" s="5"/>
      <c r="B217" s="163" t="str">
        <f>HYPERLINK("http://www.amare-moscow.ru/catalog/midii/myaso_midiy_v_m_300_500_sht_v_kg_don_kreveton_1kg_10sht_kitay/","Мясо мидий 300/500 в/м")</f>
        <v>Мясо мидий 300/500 в/м</v>
      </c>
      <c r="C217" s="56"/>
      <c r="D217" s="57" t="s">
        <v>339</v>
      </c>
      <c r="E217" s="135" t="s">
        <v>383</v>
      </c>
      <c r="F217" s="59" t="s">
        <v>213</v>
      </c>
      <c r="G217" s="60" t="s">
        <v>214</v>
      </c>
      <c r="H217" s="136" t="s">
        <v>22</v>
      </c>
      <c r="I217" s="240">
        <v>205</v>
      </c>
      <c r="J217" s="60"/>
      <c r="K217" s="60">
        <f>I217*J217</f>
        <v>0</v>
      </c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</row>
    <row r="218" spans="1:32" ht="26.25" customHeight="1">
      <c r="A218" s="20"/>
      <c r="B218" s="200" t="str">
        <f>HYPERLINK("http://amare-moscow.ru/catalog/morskoy_kokteyl/","Морской коктейль ")</f>
        <v xml:space="preserve">Морской коктейль </v>
      </c>
      <c r="C218" s="22"/>
      <c r="D218" s="23" t="s">
        <v>28</v>
      </c>
      <c r="E218" s="23" t="s">
        <v>29</v>
      </c>
      <c r="F218" s="24" t="s">
        <v>30</v>
      </c>
      <c r="G218" s="23" t="s">
        <v>31</v>
      </c>
      <c r="H218" s="25" t="s">
        <v>32</v>
      </c>
      <c r="I218" s="24" t="s">
        <v>33</v>
      </c>
      <c r="J218" s="24" t="s">
        <v>34</v>
      </c>
      <c r="K218" s="23" t="s">
        <v>35</v>
      </c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</row>
    <row r="219" spans="1:32" ht="15" customHeight="1">
      <c r="A219" s="5"/>
      <c r="B219" s="408" t="str">
        <f>HYPERLINK("http://amare-moscow.ru/catalog/morskoy_kokteyl/morskoy_kokteyl_s_m_don_kreveton_1kg_10sht_kitay/","Морской коктейль (без сурими) Премиальный 6-ть компонентов")</f>
        <v>Морской коктейль (без сурими) Премиальный 6-ть компонентов</v>
      </c>
      <c r="C219" s="76"/>
      <c r="D219" s="77" t="s">
        <v>411</v>
      </c>
      <c r="E219" s="81" t="s">
        <v>220</v>
      </c>
      <c r="F219" s="79" t="s">
        <v>213</v>
      </c>
      <c r="G219" s="80" t="s">
        <v>401</v>
      </c>
      <c r="H219" s="82" t="s">
        <v>22</v>
      </c>
      <c r="I219" s="230">
        <v>500</v>
      </c>
      <c r="J219" s="80"/>
      <c r="K219" s="80">
        <v>0</v>
      </c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</row>
    <row r="220" spans="1:32" ht="15" customHeight="1">
      <c r="A220" s="5"/>
      <c r="B220" s="150" t="str">
        <f>HYPERLINK("http://amare-moscow.ru/catalog/morskoy_kokteyl/morskoy_kokteyl_s_m_don_kreveton_1kg_10sht_kitay/","Морской коктейль (без сурими) Премиум 5-ть компонентов")</f>
        <v>Морской коктейль (без сурими) Премиум 5-ть компонентов</v>
      </c>
      <c r="C220" s="27"/>
      <c r="D220" s="28" t="s">
        <v>406</v>
      </c>
      <c r="E220" s="119" t="s">
        <v>241</v>
      </c>
      <c r="F220" s="29" t="s">
        <v>213</v>
      </c>
      <c r="G220" s="30" t="s">
        <v>396</v>
      </c>
      <c r="H220" s="217" t="s">
        <v>22</v>
      </c>
      <c r="I220" s="217" t="s">
        <v>143</v>
      </c>
      <c r="J220" s="30"/>
      <c r="K220" s="30">
        <v>0</v>
      </c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</row>
    <row r="221" spans="1:32" ht="26.25" customHeight="1">
      <c r="A221" s="20"/>
      <c r="B221" s="200" t="str">
        <f>HYPERLINK("http://www.amare-moscow.ru/catalog/osminogi/","Осьминоги")</f>
        <v>Осьминоги</v>
      </c>
      <c r="C221" s="22"/>
      <c r="D221" s="23" t="s">
        <v>28</v>
      </c>
      <c r="E221" s="23" t="s">
        <v>29</v>
      </c>
      <c r="F221" s="24" t="s">
        <v>30</v>
      </c>
      <c r="G221" s="23" t="s">
        <v>31</v>
      </c>
      <c r="H221" s="25" t="s">
        <v>32</v>
      </c>
      <c r="I221" s="24" t="s">
        <v>33</v>
      </c>
      <c r="J221" s="24" t="s">
        <v>34</v>
      </c>
      <c r="K221" s="23" t="s">
        <v>35</v>
      </c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</row>
    <row r="222" spans="1:32" ht="15" customHeight="1">
      <c r="A222" s="5"/>
      <c r="B222" s="170" t="str">
        <f>HYPERLINK("http://www.amare-moscow.ru/catalog/osminogi/osminog_s_m_1_0_2_0_kg_don_kreveton_1kh13_6_kg_indoneziya/","Осьминог 1,0-2,0 кг с/м")</f>
        <v>Осьминог 1,0-2,0 кг с/м</v>
      </c>
      <c r="C222" s="7"/>
      <c r="D222" s="67" t="s">
        <v>683</v>
      </c>
      <c r="E222" s="12" t="s">
        <v>241</v>
      </c>
      <c r="F222" s="10" t="s">
        <v>213</v>
      </c>
      <c r="G222" s="11" t="s">
        <v>416</v>
      </c>
      <c r="H222" s="13" t="s">
        <v>22</v>
      </c>
      <c r="I222" s="409">
        <v>530</v>
      </c>
      <c r="J222" s="11"/>
      <c r="K222" s="11">
        <f>I222*J222</f>
        <v>0</v>
      </c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</row>
    <row r="223" spans="1:32" ht="15" customHeight="1">
      <c r="A223" s="5"/>
      <c r="B223" s="150" t="str">
        <f>HYPERLINK("http://www.amare-moscow.ru/catalog/osminogi/osminog_s_m_2_0_3_0_kg_don_kreveton_1kh13_6_kg_indoneziya/","Осьминог 2,0-3,0 кг с/м")</f>
        <v>Осьминог 2,0-3,0 кг с/м</v>
      </c>
      <c r="C223" s="27"/>
      <c r="D223" s="28" t="s">
        <v>683</v>
      </c>
      <c r="E223" s="12" t="s">
        <v>241</v>
      </c>
      <c r="F223" s="29" t="s">
        <v>213</v>
      </c>
      <c r="G223" s="30" t="s">
        <v>416</v>
      </c>
      <c r="H223" s="13" t="s">
        <v>22</v>
      </c>
      <c r="I223" s="13">
        <v>640</v>
      </c>
      <c r="J223" s="30"/>
      <c r="K223" s="30">
        <v>0</v>
      </c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</row>
    <row r="224" spans="1:32" ht="15" customHeight="1">
      <c r="A224" s="5"/>
      <c r="B224" s="150" t="str">
        <f>HYPERLINK("http://www.amare-moscow.ru/catalog/osminogi/osminog_s_m_3_0_5_0_kg_don_kreveton_1kh13_6_kg_indoneziya/","Осьминог 3,0-5,0 кг с/м")</f>
        <v>Осьминог 3,0-5,0 кг с/м</v>
      </c>
      <c r="C224" s="27"/>
      <c r="D224" s="28" t="s">
        <v>683</v>
      </c>
      <c r="E224" s="12" t="s">
        <v>241</v>
      </c>
      <c r="F224" s="29" t="s">
        <v>213</v>
      </c>
      <c r="G224" s="30" t="s">
        <v>416</v>
      </c>
      <c r="H224" s="13" t="s">
        <v>22</v>
      </c>
      <c r="I224" s="13">
        <v>665</v>
      </c>
      <c r="J224" s="30"/>
      <c r="K224" s="30">
        <v>0</v>
      </c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</row>
    <row r="225" spans="1:32" ht="15" customHeight="1">
      <c r="A225" s="5"/>
      <c r="B225" s="150" t="str">
        <f>HYPERLINK("http://www.amare-moscow.ru/catalog/osminogi/osminog_molodoy_s_m_60_80_sht_v_kg_ind_zam_10_kg_vetnam/","Осьминог молодой 40/60 с/м")</f>
        <v>Осьминог молодой 40/60 с/м</v>
      </c>
      <c r="C225" s="27"/>
      <c r="D225" s="28" t="s">
        <v>420</v>
      </c>
      <c r="E225" s="12" t="s">
        <v>241</v>
      </c>
      <c r="F225" s="29" t="s">
        <v>213</v>
      </c>
      <c r="G225" s="30" t="s">
        <v>416</v>
      </c>
      <c r="H225" s="13" t="s">
        <v>22</v>
      </c>
      <c r="I225" s="13">
        <v>495</v>
      </c>
      <c r="J225" s="30"/>
      <c r="K225" s="30">
        <v>0</v>
      </c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</row>
    <row r="226" spans="1:32" ht="15" customHeight="1">
      <c r="A226" s="5"/>
      <c r="B226" s="150" t="str">
        <f t="shared" ref="B226:B227" si="25">HYPERLINK("http://www.amare-moscow.ru/catalog/osminogi/osminog_molodoy_s_m_60_80_sht_v_kg_ind_zam_10_kg_vetnam/","Осьминог молодой 60/80 с/м")</f>
        <v>Осьминог молодой 60/80 с/м</v>
      </c>
      <c r="C226" s="27"/>
      <c r="D226" s="28" t="s">
        <v>339</v>
      </c>
      <c r="E226" s="12" t="s">
        <v>241</v>
      </c>
      <c r="F226" s="29" t="s">
        <v>213</v>
      </c>
      <c r="G226" s="30" t="s">
        <v>416</v>
      </c>
      <c r="H226" s="13" t="s">
        <v>22</v>
      </c>
      <c r="I226" s="13">
        <v>495</v>
      </c>
      <c r="J226" s="30"/>
      <c r="K226" s="30">
        <v>0</v>
      </c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</row>
    <row r="227" spans="1:32" ht="15" customHeight="1">
      <c r="A227" s="5"/>
      <c r="B227" s="150" t="str">
        <f t="shared" si="25"/>
        <v>Осьминог молодой 60/80 с/м</v>
      </c>
      <c r="C227" s="27"/>
      <c r="D227" s="28" t="s">
        <v>116</v>
      </c>
      <c r="E227" s="12" t="s">
        <v>241</v>
      </c>
      <c r="F227" s="29" t="s">
        <v>346</v>
      </c>
      <c r="G227" s="30" t="s">
        <v>421</v>
      </c>
      <c r="H227" s="13" t="s">
        <v>22</v>
      </c>
      <c r="I227" s="138" t="s">
        <v>143</v>
      </c>
      <c r="J227" s="169"/>
      <c r="K227" s="30">
        <v>0</v>
      </c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</row>
    <row r="228" spans="1:32" ht="26.25" customHeight="1">
      <c r="A228" s="20"/>
      <c r="B228" s="200" t="str">
        <f>HYPERLINK("http://www.amare-moscow.ru/catalog/kalmar/","Кальмар")</f>
        <v>Кальмар</v>
      </c>
      <c r="C228" s="22"/>
      <c r="D228" s="23" t="s">
        <v>28</v>
      </c>
      <c r="E228" s="23" t="s">
        <v>29</v>
      </c>
      <c r="F228" s="24" t="s">
        <v>30</v>
      </c>
      <c r="G228" s="23" t="s">
        <v>31</v>
      </c>
      <c r="H228" s="25" t="s">
        <v>32</v>
      </c>
      <c r="I228" s="24" t="s">
        <v>33</v>
      </c>
      <c r="J228" s="24" t="s">
        <v>34</v>
      </c>
      <c r="K228" s="23" t="s">
        <v>35</v>
      </c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</row>
    <row r="229" spans="1:32" ht="15" customHeight="1">
      <c r="A229" s="5"/>
      <c r="B229" s="150" t="str">
        <f>HYPERLINK("http://www.amare-moscow.ru/catalog/kalmar/kalmar_komandorskiy_tushka_s_m_2_11_kg_rossiya/","Кальмар командорский тушка с/м блок")</f>
        <v>Кальмар командорский тушка с/м блок</v>
      </c>
      <c r="C229" s="27"/>
      <c r="D229" s="28" t="s">
        <v>684</v>
      </c>
      <c r="E229" s="12" t="s">
        <v>685</v>
      </c>
      <c r="F229" s="29" t="s">
        <v>432</v>
      </c>
      <c r="G229" s="30" t="s">
        <v>305</v>
      </c>
      <c r="H229" s="13" t="s">
        <v>22</v>
      </c>
      <c r="I229" s="13" t="s">
        <v>143</v>
      </c>
      <c r="J229" s="30"/>
      <c r="K229" s="30">
        <v>0</v>
      </c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</row>
    <row r="230" spans="1:32" ht="15" customHeight="1">
      <c r="A230" s="5"/>
      <c r="B230" s="150" t="str">
        <f>HYPERLINK("http://amare-moscow.ru/catalog/kalmar/kalmar_komandorskiy_tushka_s_m_2_11_kg_rossiya/","Кальмар командорский тушка с/м блок")</f>
        <v>Кальмар командорский тушка с/м блок</v>
      </c>
      <c r="C230" s="27"/>
      <c r="D230" s="28" t="s">
        <v>686</v>
      </c>
      <c r="E230" s="12"/>
      <c r="F230" s="29" t="s">
        <v>432</v>
      </c>
      <c r="G230" s="30" t="s">
        <v>305</v>
      </c>
      <c r="H230" s="13" t="s">
        <v>22</v>
      </c>
      <c r="I230" s="13" t="s">
        <v>143</v>
      </c>
      <c r="J230" s="30"/>
      <c r="K230" s="30">
        <v>0</v>
      </c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</row>
    <row r="231" spans="1:32" ht="15" customHeight="1">
      <c r="A231" s="5"/>
      <c r="B231" s="150" t="str">
        <f>HYPERLINK("http://www.amare-moscow.ru/catalog/kalmar/kalmar_file_b_k_sm_blok_1_22_5_kg_rossiya/","Кальмар филе б/к см ")</f>
        <v xml:space="preserve">Кальмар филе б/к см </v>
      </c>
      <c r="C231" s="27"/>
      <c r="D231" s="28" t="s">
        <v>687</v>
      </c>
      <c r="E231" s="12" t="s">
        <v>688</v>
      </c>
      <c r="F231" s="29" t="s">
        <v>238</v>
      </c>
      <c r="G231" s="30" t="s">
        <v>305</v>
      </c>
      <c r="H231" s="13" t="s">
        <v>22</v>
      </c>
      <c r="I231" s="13">
        <v>335</v>
      </c>
      <c r="J231" s="30"/>
      <c r="K231" s="30">
        <f t="shared" ref="K231:K232" si="26">I231*J231</f>
        <v>0</v>
      </c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</row>
    <row r="232" spans="1:32">
      <c r="A232" s="410"/>
      <c r="B232" s="156" t="s">
        <v>689</v>
      </c>
      <c r="C232" s="411"/>
      <c r="D232" s="412" t="s">
        <v>116</v>
      </c>
      <c r="E232" s="413"/>
      <c r="F232" s="414"/>
      <c r="G232" s="13" t="s">
        <v>421</v>
      </c>
      <c r="H232" s="13" t="s">
        <v>22</v>
      </c>
      <c r="I232" s="13">
        <v>450</v>
      </c>
      <c r="J232" s="413"/>
      <c r="K232" s="30">
        <f t="shared" si="26"/>
        <v>0</v>
      </c>
      <c r="L232" s="415"/>
      <c r="M232" s="416"/>
      <c r="N232" s="416"/>
      <c r="O232" s="416"/>
      <c r="P232" s="416"/>
      <c r="Q232" s="416"/>
      <c r="R232" s="416"/>
      <c r="S232" s="416"/>
      <c r="T232" s="416"/>
      <c r="U232" s="416"/>
      <c r="V232" s="416"/>
      <c r="W232" s="416"/>
      <c r="X232" s="416"/>
      <c r="Y232" s="416"/>
      <c r="Z232" s="416"/>
      <c r="AA232" s="416"/>
      <c r="AB232" s="416"/>
      <c r="AC232" s="416"/>
      <c r="AD232" s="416"/>
      <c r="AE232" s="416"/>
      <c r="AF232" s="416"/>
    </row>
    <row r="233" spans="1:32">
      <c r="A233" s="460" t="s">
        <v>430</v>
      </c>
      <c r="B233" s="457"/>
      <c r="C233" s="457"/>
      <c r="D233" s="457"/>
      <c r="E233" s="457"/>
      <c r="F233" s="457"/>
      <c r="G233" s="457"/>
      <c r="H233" s="457"/>
      <c r="I233" s="457"/>
      <c r="J233" s="457"/>
      <c r="K233" s="459"/>
      <c r="L233" s="373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</row>
    <row r="234" spans="1:32" ht="26.25" customHeight="1">
      <c r="A234" s="20"/>
      <c r="B234" s="200" t="str">
        <f>HYPERLINK("http://www.amare-moscow.ru/catalog/moreprodukty_dlya_sushi/","Японские салаты с/м")</f>
        <v>Японские салаты с/м</v>
      </c>
      <c r="C234" s="22"/>
      <c r="D234" s="23" t="s">
        <v>28</v>
      </c>
      <c r="E234" s="23" t="s">
        <v>29</v>
      </c>
      <c r="F234" s="24" t="s">
        <v>30</v>
      </c>
      <c r="G234" s="23" t="s">
        <v>31</v>
      </c>
      <c r="H234" s="24" t="s">
        <v>32</v>
      </c>
      <c r="I234" s="24" t="s">
        <v>33</v>
      </c>
      <c r="J234" s="24" t="s">
        <v>34</v>
      </c>
      <c r="K234" s="23" t="s">
        <v>35</v>
      </c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</row>
    <row r="235" spans="1:32" ht="15" customHeight="1">
      <c r="A235" s="5"/>
      <c r="B235" s="150" t="str">
        <f>HYPERLINK("http://www.amare-moscow.ru/catalog/moreprodukty_dlya_sushi/salat_iz_grebeshka_s_m_don_kreveton_1kg_10sht_kitay/","Салат из гребешка с/м (Чука Хотате)")</f>
        <v>Салат из гребешка с/м (Чука Хотате)</v>
      </c>
      <c r="C235" s="27"/>
      <c r="D235" s="28" t="s">
        <v>339</v>
      </c>
      <c r="E235" s="12" t="s">
        <v>431</v>
      </c>
      <c r="F235" s="29" t="s">
        <v>432</v>
      </c>
      <c r="G235" s="30" t="s">
        <v>214</v>
      </c>
      <c r="H235" s="13" t="s">
        <v>22</v>
      </c>
      <c r="I235" s="13">
        <v>610</v>
      </c>
      <c r="J235" s="30"/>
      <c r="K235" s="30">
        <f t="shared" ref="K235:K241" si="27">I235*J235</f>
        <v>0</v>
      </c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</row>
    <row r="236" spans="1:32" ht="15" customHeight="1">
      <c r="A236" s="5"/>
      <c r="B236" s="150" t="str">
        <f>HYPERLINK("http://www.amare-moscow.ru/catalog/moreprodukty_dlya_sushi/salat_iz_kalmara_s_m_don_kreveton_1kg_10sht_kitay/","Салат из кальмара с/м (Ика Сансай) ")</f>
        <v xml:space="preserve">Салат из кальмара с/м (Ика Сансай) </v>
      </c>
      <c r="C236" s="27"/>
      <c r="D236" s="28" t="s">
        <v>339</v>
      </c>
      <c r="E236" s="12" t="s">
        <v>690</v>
      </c>
      <c r="F236" s="29" t="s">
        <v>432</v>
      </c>
      <c r="G236" s="30" t="s">
        <v>214</v>
      </c>
      <c r="H236" s="13" t="s">
        <v>22</v>
      </c>
      <c r="I236" s="13">
        <v>700</v>
      </c>
      <c r="J236" s="30"/>
      <c r="K236" s="30">
        <f t="shared" si="27"/>
        <v>0</v>
      </c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</row>
    <row r="237" spans="1:32" ht="15" customHeight="1">
      <c r="A237" s="5"/>
      <c r="B237" s="150" t="str">
        <f>HYPERLINK("http://www.amare-moscow.ru/catalog/moreprodukty_dlya_sushi/salat_iz_meduzy_s_m_don_kreveton_1kg_10sht_kitay/","Салат из медузы с/м (Чука Кураге)")</f>
        <v>Салат из медузы с/м (Чука Кураге)</v>
      </c>
      <c r="C237" s="27"/>
      <c r="D237" s="28" t="s">
        <v>339</v>
      </c>
      <c r="E237" s="12" t="s">
        <v>433</v>
      </c>
      <c r="F237" s="29" t="s">
        <v>432</v>
      </c>
      <c r="G237" s="30" t="s">
        <v>214</v>
      </c>
      <c r="H237" s="13" t="s">
        <v>22</v>
      </c>
      <c r="I237" s="13">
        <v>700</v>
      </c>
      <c r="J237" s="30"/>
      <c r="K237" s="30">
        <f t="shared" si="27"/>
        <v>0</v>
      </c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</row>
    <row r="238" spans="1:32" ht="15" customHeight="1">
      <c r="A238" s="5"/>
      <c r="B238" s="150" t="str">
        <f>HYPERLINK("http://www.amare-moscow.ru/catalog/moreprodukty_dlya_sushi/salat_iz_molodykh_osminogov_s_m_don_kreveton_1kg_10sht_kitay/","Салат из молодых осьминогов с/м (Чука Иидако) ")</f>
        <v xml:space="preserve">Салат из молодых осьминогов с/м (Чука Иидако) </v>
      </c>
      <c r="C238" s="27"/>
      <c r="D238" s="28" t="s">
        <v>339</v>
      </c>
      <c r="E238" s="12" t="s">
        <v>691</v>
      </c>
      <c r="F238" s="29" t="s">
        <v>432</v>
      </c>
      <c r="G238" s="30" t="s">
        <v>214</v>
      </c>
      <c r="H238" s="13" t="s">
        <v>22</v>
      </c>
      <c r="I238" s="13">
        <v>880</v>
      </c>
      <c r="J238" s="30"/>
      <c r="K238" s="30">
        <f t="shared" si="27"/>
        <v>0</v>
      </c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</row>
    <row r="239" spans="1:32" ht="15" customHeight="1">
      <c r="A239" s="5"/>
      <c r="B239" s="150" t="str">
        <f>HYPERLINK("http://www.amare-moscow.ru/catalog/moreprodukty_dlya_sushi/salat_iz_osminoga_s_m_don_kreveton_1kg_10sht_kitay/","Салат из осьминога с/м (Иидако Сансай)")</f>
        <v>Салат из осьминога с/м (Иидако Сансай)</v>
      </c>
      <c r="C239" s="27"/>
      <c r="D239" s="28" t="s">
        <v>339</v>
      </c>
      <c r="E239" s="12" t="s">
        <v>692</v>
      </c>
      <c r="F239" s="29" t="s">
        <v>432</v>
      </c>
      <c r="G239" s="30" t="s">
        <v>214</v>
      </c>
      <c r="H239" s="13" t="s">
        <v>22</v>
      </c>
      <c r="I239" s="13">
        <v>740</v>
      </c>
      <c r="J239" s="30"/>
      <c r="K239" s="30">
        <f t="shared" si="27"/>
        <v>0</v>
      </c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</row>
    <row r="240" spans="1:32" ht="15" customHeight="1">
      <c r="A240" s="5"/>
      <c r="B240" s="156" t="s">
        <v>436</v>
      </c>
      <c r="C240" s="27"/>
      <c r="D240" s="28" t="s">
        <v>339</v>
      </c>
      <c r="E240" s="12"/>
      <c r="F240" s="29" t="s">
        <v>432</v>
      </c>
      <c r="G240" s="30" t="s">
        <v>214</v>
      </c>
      <c r="H240" s="13" t="s">
        <v>22</v>
      </c>
      <c r="I240" s="138">
        <v>610</v>
      </c>
      <c r="J240" s="169"/>
      <c r="K240" s="30">
        <f t="shared" si="27"/>
        <v>0</v>
      </c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</row>
    <row r="241" spans="1:32" ht="15" customHeight="1">
      <c r="A241" s="5"/>
      <c r="B241" s="156" t="s">
        <v>437</v>
      </c>
      <c r="C241" s="27"/>
      <c r="D241" s="28" t="s">
        <v>339</v>
      </c>
      <c r="E241" s="12"/>
      <c r="F241" s="29" t="s">
        <v>432</v>
      </c>
      <c r="G241" s="30" t="s">
        <v>214</v>
      </c>
      <c r="H241" s="13" t="s">
        <v>22</v>
      </c>
      <c r="I241" s="138">
        <v>700</v>
      </c>
      <c r="J241" s="169"/>
      <c r="K241" s="30">
        <f t="shared" si="27"/>
        <v>0</v>
      </c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</row>
    <row r="242" spans="1:32" ht="26.25" customHeight="1">
      <c r="A242" s="20"/>
      <c r="B242" s="200" t="str">
        <f>HYPERLINK("http://www.amare-moscow.ru/catalog/morskie_vodorosli_/","Морские водоросли")</f>
        <v>Морские водоросли</v>
      </c>
      <c r="C242" s="22"/>
      <c r="D242" s="23" t="s">
        <v>28</v>
      </c>
      <c r="E242" s="23" t="s">
        <v>29</v>
      </c>
      <c r="F242" s="24" t="s">
        <v>30</v>
      </c>
      <c r="G242" s="23" t="s">
        <v>31</v>
      </c>
      <c r="H242" s="25" t="s">
        <v>32</v>
      </c>
      <c r="I242" s="24" t="s">
        <v>33</v>
      </c>
      <c r="J242" s="24" t="s">
        <v>34</v>
      </c>
      <c r="K242" s="23" t="s">
        <v>35</v>
      </c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</row>
    <row r="243" spans="1:32" ht="15" customHeight="1">
      <c r="A243" s="5"/>
      <c r="B243" s="150" t="str">
        <f>HYPERLINK("http://www.amare-moscow.ru/catalog/morskie_vodorosli_/salat_iz_morskikh_vodorosley_chuka_time_seafood_premium_s_m_don_kreveton_1kg_10sht_kitay/","Салат из мор. водорослей Чука Премиум Time SeaFood с/м")</f>
        <v>Салат из мор. водорослей Чука Премиум Time SeaFood с/м</v>
      </c>
      <c r="C243" s="27"/>
      <c r="D243" s="28" t="s">
        <v>339</v>
      </c>
      <c r="E243" s="12" t="s">
        <v>693</v>
      </c>
      <c r="F243" s="29" t="s">
        <v>213</v>
      </c>
      <c r="G243" s="30" t="s">
        <v>19</v>
      </c>
      <c r="H243" s="13" t="s">
        <v>22</v>
      </c>
      <c r="I243" s="13">
        <v>190</v>
      </c>
      <c r="J243" s="30"/>
      <c r="K243" s="30">
        <v>0</v>
      </c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  <c r="AA243" s="341"/>
      <c r="AB243" s="341"/>
      <c r="AC243" s="341"/>
      <c r="AD243" s="341"/>
      <c r="AE243" s="341"/>
      <c r="AF243" s="341"/>
    </row>
    <row r="244" spans="1:32" ht="15" customHeight="1">
      <c r="A244" s="5"/>
      <c r="B244" s="150" t="str">
        <f>HYPERLINK("http://www.amare-moscow.ru/catalog/morskie_vodorosli_/salat_iz_morskikh_vodorosley_chuka_time_seafood_s_m_don_kreveton_1kg_10sht_kitay/","Салат из мор. водорослей Чука Time SeaFood с/м")</f>
        <v>Салат из мор. водорослей Чука Time SeaFood с/м</v>
      </c>
      <c r="C244" s="27"/>
      <c r="D244" s="28" t="s">
        <v>339</v>
      </c>
      <c r="E244" s="12" t="s">
        <v>440</v>
      </c>
      <c r="F244" s="29" t="s">
        <v>213</v>
      </c>
      <c r="G244" s="30" t="s">
        <v>19</v>
      </c>
      <c r="H244" s="13" t="s">
        <v>22</v>
      </c>
      <c r="I244" s="13">
        <v>170</v>
      </c>
      <c r="J244" s="30"/>
      <c r="K244" s="30">
        <f t="shared" ref="K244:K264" si="28">I244*J244</f>
        <v>0</v>
      </c>
      <c r="L244" s="341"/>
      <c r="M244" s="373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  <c r="AA244" s="341"/>
      <c r="AB244" s="341"/>
      <c r="AC244" s="341"/>
      <c r="AD244" s="341"/>
      <c r="AE244" s="341"/>
      <c r="AF244" s="341"/>
    </row>
    <row r="245" spans="1:32" ht="15" customHeight="1">
      <c r="A245" s="5"/>
      <c r="B245" s="150" t="str">
        <f>HYPERLINK("http://www.amare-moscow.ru/catalog/morskie_vodorosli_/salat_iz_morskikh_vodorosley_chuka_krasnaya_time_seafood_s_m_don_kreveton_1kg_10sht_kitay/","Салат из мор. водорослей Чука Красная Time SeaFood")</f>
        <v>Салат из мор. водорослей Чука Красная Time SeaFood</v>
      </c>
      <c r="C245" s="27"/>
      <c r="D245" s="28" t="s">
        <v>413</v>
      </c>
      <c r="E245" s="12" t="s">
        <v>693</v>
      </c>
      <c r="F245" s="29" t="s">
        <v>213</v>
      </c>
      <c r="G245" s="30" t="s">
        <v>19</v>
      </c>
      <c r="H245" s="13" t="s">
        <v>22</v>
      </c>
      <c r="I245" s="13">
        <v>300</v>
      </c>
      <c r="J245" s="30"/>
      <c r="K245" s="30">
        <f t="shared" si="28"/>
        <v>0</v>
      </c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  <c r="AA245" s="341"/>
      <c r="AB245" s="341"/>
      <c r="AC245" s="341"/>
      <c r="AD245" s="341"/>
      <c r="AE245" s="341"/>
      <c r="AF245" s="341"/>
    </row>
    <row r="246" spans="1:32" ht="15" customHeight="1">
      <c r="A246" s="5"/>
      <c r="B246" s="156" t="s">
        <v>441</v>
      </c>
      <c r="C246" s="27"/>
      <c r="D246" s="28" t="s">
        <v>694</v>
      </c>
      <c r="E246" s="119" t="s">
        <v>442</v>
      </c>
      <c r="F246" s="29" t="s">
        <v>213</v>
      </c>
      <c r="G246" s="30" t="s">
        <v>214</v>
      </c>
      <c r="H246" s="217" t="s">
        <v>22</v>
      </c>
      <c r="I246" s="217">
        <v>220</v>
      </c>
      <c r="J246" s="30"/>
      <c r="K246" s="30">
        <f t="shared" si="28"/>
        <v>0</v>
      </c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  <c r="AA246" s="341"/>
      <c r="AB246" s="341"/>
      <c r="AC246" s="341"/>
      <c r="AD246" s="341"/>
      <c r="AE246" s="341"/>
      <c r="AF246" s="341"/>
    </row>
    <row r="247" spans="1:32" ht="15" customHeight="1">
      <c r="A247" s="5"/>
      <c r="B247" s="156" t="s">
        <v>441</v>
      </c>
      <c r="C247" s="27"/>
      <c r="D247" s="28" t="s">
        <v>413</v>
      </c>
      <c r="E247" s="119" t="s">
        <v>442</v>
      </c>
      <c r="F247" s="29" t="s">
        <v>39</v>
      </c>
      <c r="G247" s="30" t="s">
        <v>19</v>
      </c>
      <c r="H247" s="13" t="s">
        <v>22</v>
      </c>
      <c r="I247" s="13">
        <v>250</v>
      </c>
      <c r="J247" s="30"/>
      <c r="K247" s="30">
        <f t="shared" si="28"/>
        <v>0</v>
      </c>
      <c r="L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  <c r="AA247" s="341"/>
      <c r="AB247" s="341"/>
      <c r="AC247" s="341"/>
      <c r="AD247" s="341"/>
      <c r="AE247" s="341"/>
      <c r="AF247" s="341"/>
    </row>
    <row r="248" spans="1:32" ht="15" customHeight="1">
      <c r="A248" s="5"/>
      <c r="B248" s="150" t="str">
        <f>HYPERLINK("http://www.amare-moscow.ru/catalog/bakaleya_dlya_sushi/vodorosli_morskie_vakame_sushenye_don_kreveton_0_05kg_10sht_rossiya/","Водоросли морские сушеные Вакаме ")</f>
        <v xml:space="preserve">Водоросли морские сушеные Вакаме </v>
      </c>
      <c r="C248" s="27"/>
      <c r="D248" s="28" t="s">
        <v>444</v>
      </c>
      <c r="E248" s="12"/>
      <c r="F248" s="29" t="s">
        <v>213</v>
      </c>
      <c r="G248" s="30" t="s">
        <v>445</v>
      </c>
      <c r="H248" s="13" t="s">
        <v>20</v>
      </c>
      <c r="I248" s="13">
        <v>65</v>
      </c>
      <c r="J248" s="30"/>
      <c r="K248" s="30">
        <f t="shared" si="28"/>
        <v>0</v>
      </c>
      <c r="L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  <c r="AA248" s="341"/>
      <c r="AB248" s="341"/>
      <c r="AC248" s="341"/>
      <c r="AD248" s="341"/>
      <c r="AE248" s="341"/>
      <c r="AF248" s="341"/>
    </row>
    <row r="249" spans="1:32" ht="15" customHeight="1">
      <c r="A249" s="258"/>
      <c r="B249" s="170" t="str">
        <f>HYPERLINK("http://www.amare-moscow.ru/catalog/bakaleya_dlya_sushi/vodorosli_morskie_sushenye_vakame_don_kreveton_0_5kg_20_sht_kitay/","Водоросли морские сушеные Вакаме ")</f>
        <v xml:space="preserve">Водоросли морские сушеные Вакаме </v>
      </c>
      <c r="C249" s="7"/>
      <c r="D249" s="67" t="s">
        <v>413</v>
      </c>
      <c r="E249" s="11"/>
      <c r="F249" s="91" t="s">
        <v>213</v>
      </c>
      <c r="G249" s="11" t="s">
        <v>214</v>
      </c>
      <c r="H249" s="231" t="s">
        <v>22</v>
      </c>
      <c r="I249" s="231">
        <v>540</v>
      </c>
      <c r="J249" s="11"/>
      <c r="K249" s="11">
        <f t="shared" si="28"/>
        <v>0</v>
      </c>
      <c r="L249" s="417"/>
      <c r="M249" s="417"/>
      <c r="N249" s="417"/>
      <c r="O249" s="417"/>
      <c r="P249" s="417"/>
      <c r="Q249" s="417"/>
      <c r="R249" s="417"/>
      <c r="S249" s="417"/>
      <c r="T249" s="417"/>
      <c r="U249" s="417"/>
      <c r="V249" s="417"/>
      <c r="W249" s="417"/>
      <c r="X249" s="417"/>
      <c r="Y249" s="417"/>
      <c r="Z249" s="417"/>
      <c r="AA249" s="417"/>
      <c r="AB249" s="417"/>
      <c r="AC249" s="417"/>
      <c r="AD249" s="417"/>
      <c r="AE249" s="417"/>
      <c r="AF249" s="417"/>
    </row>
    <row r="250" spans="1:32" ht="15" customHeight="1">
      <c r="A250" s="5"/>
      <c r="B250" s="156" t="s">
        <v>446</v>
      </c>
      <c r="C250" s="27"/>
      <c r="D250" s="28" t="s">
        <v>447</v>
      </c>
      <c r="E250" s="12"/>
      <c r="F250" s="29" t="s">
        <v>39</v>
      </c>
      <c r="G250" s="30" t="s">
        <v>445</v>
      </c>
      <c r="H250" s="13" t="s">
        <v>20</v>
      </c>
      <c r="I250" s="13">
        <v>85</v>
      </c>
      <c r="J250" s="30"/>
      <c r="K250" s="30">
        <f t="shared" si="28"/>
        <v>0</v>
      </c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  <c r="AA250" s="341"/>
      <c r="AB250" s="341"/>
      <c r="AC250" s="341"/>
      <c r="AD250" s="341"/>
      <c r="AE250" s="341"/>
      <c r="AF250" s="341"/>
    </row>
    <row r="251" spans="1:32" ht="15" customHeight="1">
      <c r="A251" s="5"/>
      <c r="B251" s="156" t="s">
        <v>448</v>
      </c>
      <c r="C251" s="27"/>
      <c r="D251" s="28" t="s">
        <v>444</v>
      </c>
      <c r="E251" s="12"/>
      <c r="F251" s="29" t="s">
        <v>39</v>
      </c>
      <c r="G251" s="30" t="s">
        <v>445</v>
      </c>
      <c r="H251" s="13" t="s">
        <v>20</v>
      </c>
      <c r="I251" s="13">
        <v>90</v>
      </c>
      <c r="J251" s="30"/>
      <c r="K251" s="30">
        <f t="shared" si="28"/>
        <v>0</v>
      </c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  <c r="AA251" s="341"/>
      <c r="AB251" s="341"/>
      <c r="AC251" s="341"/>
      <c r="AD251" s="341"/>
      <c r="AE251" s="341"/>
      <c r="AF251" s="341"/>
    </row>
    <row r="252" spans="1:32" ht="15" customHeight="1">
      <c r="A252" s="5"/>
      <c r="B252" s="156" t="s">
        <v>449</v>
      </c>
      <c r="C252" s="27"/>
      <c r="D252" s="28" t="s">
        <v>406</v>
      </c>
      <c r="E252" s="12"/>
      <c r="F252" s="29" t="s">
        <v>450</v>
      </c>
      <c r="G252" s="30" t="s">
        <v>244</v>
      </c>
      <c r="H252" s="13" t="s">
        <v>22</v>
      </c>
      <c r="I252" s="13">
        <v>700</v>
      </c>
      <c r="J252" s="30"/>
      <c r="K252" s="30">
        <f t="shared" si="28"/>
        <v>0</v>
      </c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  <c r="AA252" s="341"/>
      <c r="AB252" s="341"/>
      <c r="AC252" s="341"/>
      <c r="AD252" s="341"/>
      <c r="AE252" s="341"/>
      <c r="AF252" s="341"/>
    </row>
    <row r="253" spans="1:32" ht="15" customHeight="1">
      <c r="A253" s="5"/>
      <c r="B253" s="156" t="s">
        <v>446</v>
      </c>
      <c r="C253" s="27"/>
      <c r="D253" s="28" t="s">
        <v>116</v>
      </c>
      <c r="E253" s="12"/>
      <c r="F253" s="29" t="s">
        <v>213</v>
      </c>
      <c r="G253" s="30" t="s">
        <v>214</v>
      </c>
      <c r="H253" s="13" t="s">
        <v>22</v>
      </c>
      <c r="I253" s="13">
        <v>420</v>
      </c>
      <c r="J253" s="30"/>
      <c r="K253" s="30">
        <f t="shared" si="28"/>
        <v>0</v>
      </c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</row>
    <row r="254" spans="1:32" ht="15" customHeight="1">
      <c r="A254" s="5"/>
      <c r="B254" s="156" t="s">
        <v>452</v>
      </c>
      <c r="C254" s="27"/>
      <c r="D254" s="28" t="s">
        <v>453</v>
      </c>
      <c r="E254" s="12"/>
      <c r="F254" s="29" t="s">
        <v>454</v>
      </c>
      <c r="G254" s="30" t="s">
        <v>445</v>
      </c>
      <c r="H254" s="13" t="s">
        <v>20</v>
      </c>
      <c r="I254" s="13">
        <v>200</v>
      </c>
      <c r="J254" s="30"/>
      <c r="K254" s="30">
        <f t="shared" si="28"/>
        <v>0</v>
      </c>
      <c r="L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  <c r="AA254" s="341"/>
      <c r="AB254" s="341"/>
      <c r="AC254" s="341"/>
      <c r="AD254" s="341"/>
      <c r="AE254" s="341"/>
      <c r="AF254" s="341"/>
    </row>
    <row r="255" spans="1:32" ht="15" customHeight="1">
      <c r="A255" s="393" t="s">
        <v>695</v>
      </c>
      <c r="B255" s="156" t="s">
        <v>696</v>
      </c>
      <c r="C255" s="27"/>
      <c r="D255" s="28" t="s">
        <v>460</v>
      </c>
      <c r="E255" s="12"/>
      <c r="F255" s="29" t="s">
        <v>450</v>
      </c>
      <c r="G255" s="30" t="s">
        <v>244</v>
      </c>
      <c r="H255" s="169" t="s">
        <v>22</v>
      </c>
      <c r="I255" s="138">
        <v>1050</v>
      </c>
      <c r="J255" s="169"/>
      <c r="K255" s="30">
        <f t="shared" si="28"/>
        <v>0</v>
      </c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  <c r="AA255" s="341"/>
      <c r="AB255" s="341"/>
      <c r="AC255" s="341"/>
      <c r="AD255" s="341"/>
      <c r="AE255" s="341"/>
      <c r="AF255" s="341"/>
    </row>
    <row r="256" spans="1:32" ht="15" customHeight="1">
      <c r="A256" s="5"/>
      <c r="B256" s="156" t="s">
        <v>463</v>
      </c>
      <c r="C256" s="27"/>
      <c r="D256" s="277" t="s">
        <v>464</v>
      </c>
      <c r="E256" s="12"/>
      <c r="F256" s="29" t="s">
        <v>454</v>
      </c>
      <c r="G256" s="30" t="s">
        <v>445</v>
      </c>
      <c r="H256" s="169" t="s">
        <v>20</v>
      </c>
      <c r="I256" s="138">
        <v>110</v>
      </c>
      <c r="J256" s="169"/>
      <c r="K256" s="30">
        <f t="shared" si="28"/>
        <v>0</v>
      </c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  <c r="AA256" s="341"/>
      <c r="AB256" s="341"/>
      <c r="AC256" s="341"/>
      <c r="AD256" s="341"/>
      <c r="AE256" s="341"/>
      <c r="AF256" s="341"/>
    </row>
    <row r="257" spans="1:32" ht="15" customHeight="1">
      <c r="A257" s="5"/>
      <c r="B257" s="150" t="str">
        <f>HYPERLINK("http://amare-moscow.ru/catalog/vodorosli/morskie_vodorosli_spirulina_tm_vegangrad_0_05kg_10sht_rossiya/","Спирулина порошок ")</f>
        <v xml:space="preserve">Спирулина порошок </v>
      </c>
      <c r="C257" s="27"/>
      <c r="D257" s="28" t="s">
        <v>464</v>
      </c>
      <c r="E257" s="12"/>
      <c r="F257" s="29" t="s">
        <v>454</v>
      </c>
      <c r="G257" s="30" t="s">
        <v>445</v>
      </c>
      <c r="H257" s="169" t="s">
        <v>20</v>
      </c>
      <c r="I257" s="138">
        <v>110</v>
      </c>
      <c r="J257" s="169"/>
      <c r="K257" s="30">
        <f t="shared" si="28"/>
        <v>0</v>
      </c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  <c r="AA257" s="341"/>
      <c r="AB257" s="341"/>
      <c r="AC257" s="341"/>
      <c r="AD257" s="341"/>
      <c r="AE257" s="341"/>
      <c r="AF257" s="341"/>
    </row>
    <row r="258" spans="1:32" ht="15" customHeight="1">
      <c r="A258" s="5"/>
      <c r="B258" s="156" t="s">
        <v>473</v>
      </c>
      <c r="C258" s="27"/>
      <c r="D258" s="28" t="s">
        <v>464</v>
      </c>
      <c r="E258" s="12"/>
      <c r="F258" s="29" t="s">
        <v>454</v>
      </c>
      <c r="G258" s="30" t="s">
        <v>445</v>
      </c>
      <c r="H258" s="169" t="s">
        <v>20</v>
      </c>
      <c r="I258" s="138">
        <v>150</v>
      </c>
      <c r="J258" s="169"/>
      <c r="K258" s="30">
        <f t="shared" si="28"/>
        <v>0</v>
      </c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  <c r="AA258" s="341"/>
      <c r="AB258" s="341"/>
      <c r="AC258" s="341"/>
      <c r="AD258" s="341"/>
      <c r="AE258" s="341"/>
      <c r="AF258" s="341"/>
    </row>
    <row r="259" spans="1:32" ht="15" customHeight="1">
      <c r="A259" s="280"/>
      <c r="B259" s="156" t="s">
        <v>475</v>
      </c>
      <c r="C259" s="27"/>
      <c r="D259" s="28" t="s">
        <v>464</v>
      </c>
      <c r="E259" s="119"/>
      <c r="F259" s="29" t="s">
        <v>454</v>
      </c>
      <c r="G259" s="30" t="s">
        <v>445</v>
      </c>
      <c r="H259" s="169" t="s">
        <v>20</v>
      </c>
      <c r="I259" s="281">
        <v>300</v>
      </c>
      <c r="J259" s="169"/>
      <c r="K259" s="30">
        <f t="shared" si="28"/>
        <v>0</v>
      </c>
      <c r="L259" s="416"/>
      <c r="M259" s="416"/>
      <c r="N259" s="416"/>
      <c r="O259" s="416"/>
      <c r="P259" s="416"/>
      <c r="Q259" s="416"/>
      <c r="R259" s="416"/>
      <c r="S259" s="416"/>
      <c r="T259" s="416"/>
      <c r="U259" s="416"/>
      <c r="V259" s="416"/>
      <c r="W259" s="416"/>
      <c r="X259" s="416"/>
      <c r="Y259" s="416"/>
      <c r="Z259" s="416"/>
      <c r="AA259" s="416"/>
      <c r="AB259" s="416"/>
      <c r="AC259" s="416"/>
      <c r="AD259" s="416"/>
      <c r="AE259" s="416"/>
      <c r="AF259" s="416"/>
    </row>
    <row r="260" spans="1:32" ht="15" customHeight="1">
      <c r="A260" s="280"/>
      <c r="B260" s="418" t="s">
        <v>477</v>
      </c>
      <c r="C260" s="27"/>
      <c r="D260" s="28" t="s">
        <v>464</v>
      </c>
      <c r="E260" s="119"/>
      <c r="F260" s="29" t="s">
        <v>454</v>
      </c>
      <c r="G260" s="30" t="s">
        <v>445</v>
      </c>
      <c r="H260" s="169" t="s">
        <v>20</v>
      </c>
      <c r="I260" s="281">
        <v>200</v>
      </c>
      <c r="J260" s="169"/>
      <c r="K260" s="30">
        <f t="shared" si="28"/>
        <v>0</v>
      </c>
      <c r="L260" s="416"/>
      <c r="M260" s="416"/>
      <c r="N260" s="416"/>
      <c r="O260" s="416"/>
      <c r="P260" s="416"/>
      <c r="Q260" s="416"/>
      <c r="R260" s="416"/>
      <c r="S260" s="416"/>
      <c r="T260" s="416"/>
      <c r="U260" s="416"/>
      <c r="V260" s="416"/>
      <c r="W260" s="416"/>
      <c r="X260" s="416"/>
      <c r="Y260" s="416"/>
      <c r="Z260" s="416"/>
      <c r="AA260" s="416"/>
      <c r="AB260" s="416"/>
      <c r="AC260" s="416"/>
      <c r="AD260" s="416"/>
      <c r="AE260" s="416"/>
      <c r="AF260" s="416"/>
    </row>
    <row r="261" spans="1:32" ht="15" customHeight="1">
      <c r="A261" s="5"/>
      <c r="B261" s="419" t="s">
        <v>697</v>
      </c>
      <c r="C261" s="56"/>
      <c r="D261" s="57" t="s">
        <v>698</v>
      </c>
      <c r="E261" s="135"/>
      <c r="F261" s="59" t="s">
        <v>699</v>
      </c>
      <c r="G261" s="60" t="s">
        <v>445</v>
      </c>
      <c r="H261" s="62" t="s">
        <v>20</v>
      </c>
      <c r="I261" s="61">
        <v>115</v>
      </c>
      <c r="J261" s="62"/>
      <c r="K261" s="60">
        <f t="shared" si="28"/>
        <v>0</v>
      </c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  <c r="AA261" s="341"/>
      <c r="AB261" s="341"/>
      <c r="AC261" s="341"/>
      <c r="AD261" s="341"/>
      <c r="AE261" s="341"/>
      <c r="AF261" s="341"/>
    </row>
    <row r="262" spans="1:32" ht="15" customHeight="1">
      <c r="A262" s="5"/>
      <c r="B262" s="160" t="s">
        <v>700</v>
      </c>
      <c r="C262" s="56"/>
      <c r="D262" s="57" t="s">
        <v>698</v>
      </c>
      <c r="E262" s="135"/>
      <c r="F262" s="59" t="s">
        <v>699</v>
      </c>
      <c r="G262" s="60" t="s">
        <v>445</v>
      </c>
      <c r="H262" s="62" t="s">
        <v>20</v>
      </c>
      <c r="I262" s="61">
        <v>115</v>
      </c>
      <c r="J262" s="62"/>
      <c r="K262" s="60">
        <f t="shared" si="28"/>
        <v>0</v>
      </c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  <c r="AA262" s="341"/>
      <c r="AB262" s="341"/>
      <c r="AC262" s="341"/>
      <c r="AD262" s="341"/>
      <c r="AE262" s="341"/>
      <c r="AF262" s="341"/>
    </row>
    <row r="263" spans="1:32" ht="15" customHeight="1">
      <c r="A263" s="5"/>
      <c r="B263" s="160" t="s">
        <v>701</v>
      </c>
      <c r="C263" s="56"/>
      <c r="D263" s="57" t="s">
        <v>698</v>
      </c>
      <c r="E263" s="135"/>
      <c r="F263" s="59" t="s">
        <v>699</v>
      </c>
      <c r="G263" s="60" t="s">
        <v>445</v>
      </c>
      <c r="H263" s="62" t="s">
        <v>20</v>
      </c>
      <c r="I263" s="61">
        <v>110</v>
      </c>
      <c r="J263" s="62"/>
      <c r="K263" s="60">
        <f t="shared" si="28"/>
        <v>0</v>
      </c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</row>
    <row r="264" spans="1:32" ht="15" customHeight="1">
      <c r="A264" s="5"/>
      <c r="B264" s="160" t="s">
        <v>702</v>
      </c>
      <c r="C264" s="56"/>
      <c r="D264" s="57" t="s">
        <v>698</v>
      </c>
      <c r="E264" s="135"/>
      <c r="F264" s="59" t="s">
        <v>699</v>
      </c>
      <c r="G264" s="60" t="s">
        <v>445</v>
      </c>
      <c r="H264" s="62" t="s">
        <v>20</v>
      </c>
      <c r="I264" s="61">
        <v>110</v>
      </c>
      <c r="J264" s="62"/>
      <c r="K264" s="60">
        <f t="shared" si="28"/>
        <v>0</v>
      </c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  <c r="AA264" s="341"/>
      <c r="AB264" s="341"/>
      <c r="AC264" s="341"/>
      <c r="AD264" s="341"/>
      <c r="AE264" s="341"/>
      <c r="AF264" s="341"/>
    </row>
    <row r="265" spans="1:32" ht="26.25" customHeight="1">
      <c r="A265" s="20"/>
      <c r="B265" s="200" t="str">
        <f>HYPERLINK("http://amare-moscow.ru/catalog/ostalnaya_bakaleya/","Соевые бобы Эдамаме")</f>
        <v>Соевые бобы Эдамаме</v>
      </c>
      <c r="C265" s="22"/>
      <c r="D265" s="23" t="s">
        <v>28</v>
      </c>
      <c r="E265" s="23" t="s">
        <v>29</v>
      </c>
      <c r="F265" s="24" t="s">
        <v>30</v>
      </c>
      <c r="G265" s="23" t="s">
        <v>31</v>
      </c>
      <c r="H265" s="25" t="s">
        <v>32</v>
      </c>
      <c r="I265" s="24" t="s">
        <v>33</v>
      </c>
      <c r="J265" s="24" t="s">
        <v>34</v>
      </c>
      <c r="K265" s="23" t="s">
        <v>35</v>
      </c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  <c r="AA265" s="341"/>
      <c r="AB265" s="341"/>
      <c r="AC265" s="341"/>
      <c r="AD265" s="341"/>
      <c r="AE265" s="341"/>
      <c r="AF265" s="341"/>
    </row>
    <row r="266" spans="1:32" ht="15" customHeight="1">
      <c r="A266" s="5"/>
      <c r="B266" s="282" t="str">
        <f>HYPERLINK("http://amare-moscow.ru/catalog/02_bakaleya/boby_soevye_zelyenye_edamame_v_struchkakh_s_m_don_kreveton_0_5kg_20sht_kitay/","Бобы соевые зелёные Эдамаме в стручках  с/м")</f>
        <v>Бобы соевые зелёные Эдамаме в стручках  с/м</v>
      </c>
      <c r="C266" s="283"/>
      <c r="D266" s="284" t="s">
        <v>480</v>
      </c>
      <c r="E266" s="285"/>
      <c r="F266" s="286" t="s">
        <v>432</v>
      </c>
      <c r="G266" s="287" t="s">
        <v>244</v>
      </c>
      <c r="H266" s="287" t="s">
        <v>22</v>
      </c>
      <c r="I266" s="288">
        <v>220</v>
      </c>
      <c r="J266" s="287"/>
      <c r="K266" s="287">
        <f t="shared" ref="K266:K267" si="29">I266*J266</f>
        <v>0</v>
      </c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  <c r="AA266" s="341"/>
      <c r="AB266" s="341"/>
      <c r="AC266" s="341"/>
      <c r="AD266" s="341"/>
      <c r="AE266" s="341"/>
      <c r="AF266" s="341"/>
    </row>
    <row r="267" spans="1:32" ht="15" customHeight="1">
      <c r="A267" s="5"/>
      <c r="B267" s="282" t="str">
        <f>HYPERLINK("http://amare-moscow.ru/catalog/02_bakaleya/boby_soevye_zelyenye_edamame_ochishchennye_s_m_don_kreveton_0_5kg_20sht_kitay/","Бобы соевые зелёные Эдамаме очищенные с/м")</f>
        <v>Бобы соевые зелёные Эдамаме очищенные с/м</v>
      </c>
      <c r="C267" s="289"/>
      <c r="D267" s="284" t="s">
        <v>480</v>
      </c>
      <c r="E267" s="285"/>
      <c r="F267" s="286" t="s">
        <v>703</v>
      </c>
      <c r="G267" s="287" t="s">
        <v>244</v>
      </c>
      <c r="H267" s="287" t="s">
        <v>22</v>
      </c>
      <c r="I267" s="288">
        <v>240</v>
      </c>
      <c r="J267" s="287"/>
      <c r="K267" s="287">
        <f t="shared" si="29"/>
        <v>0</v>
      </c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  <c r="AA267" s="341"/>
      <c r="AB267" s="341"/>
      <c r="AC267" s="341"/>
      <c r="AD267" s="341"/>
      <c r="AE267" s="341"/>
      <c r="AF267" s="341"/>
    </row>
    <row r="268" spans="1:32" ht="20.25" customHeight="1">
      <c r="A268" s="461" t="str">
        <f>HYPERLINK("http://www.amare-moscow.ru/catalog/ryba_i_ryboproduktsiya/","Рыба и рыбопродукция")</f>
        <v>Рыба и рыбопродукция</v>
      </c>
      <c r="B268" s="457"/>
      <c r="C268" s="457"/>
      <c r="D268" s="457"/>
      <c r="E268" s="457"/>
      <c r="F268" s="457"/>
      <c r="G268" s="457"/>
      <c r="H268" s="457"/>
      <c r="I268" s="457"/>
      <c r="J268" s="457"/>
      <c r="K268" s="457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  <c r="AA268" s="341"/>
      <c r="AB268" s="341"/>
      <c r="AC268" s="341"/>
      <c r="AD268" s="341"/>
      <c r="AE268" s="341"/>
      <c r="AF268" s="341"/>
    </row>
    <row r="269" spans="1:32">
      <c r="A269" s="211" t="str">
        <f>HYPERLINK("http://www.amare-moscow.ru/catalog/ryba/","Рыба")</f>
        <v>Рыба</v>
      </c>
      <c r="B269" s="194"/>
      <c r="C269" s="194"/>
      <c r="D269" s="194"/>
      <c r="E269" s="194"/>
      <c r="F269" s="194"/>
      <c r="G269" s="194"/>
      <c r="H269" s="194"/>
      <c r="I269" s="194"/>
      <c r="J269" s="194"/>
      <c r="K269" s="194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  <c r="AA269" s="341"/>
      <c r="AB269" s="341"/>
      <c r="AC269" s="341"/>
      <c r="AD269" s="341"/>
      <c r="AE269" s="341"/>
      <c r="AF269" s="341"/>
    </row>
    <row r="270" spans="1:32" ht="26.25" customHeight="1">
      <c r="A270" s="20"/>
      <c r="B270" s="200" t="str">
        <f>HYPERLINK("http://www.amare-moscow.ru/catalog/1_tunets/","Тунец")</f>
        <v>Тунец</v>
      </c>
      <c r="C270" s="22"/>
      <c r="D270" s="23" t="s">
        <v>28</v>
      </c>
      <c r="E270" s="23" t="s">
        <v>29</v>
      </c>
      <c r="F270" s="24" t="s">
        <v>30</v>
      </c>
      <c r="G270" s="23" t="s">
        <v>31</v>
      </c>
      <c r="H270" s="25" t="s">
        <v>32</v>
      </c>
      <c r="I270" s="24" t="s">
        <v>33</v>
      </c>
      <c r="J270" s="24" t="s">
        <v>34</v>
      </c>
      <c r="K270" s="23" t="s">
        <v>35</v>
      </c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  <c r="AA270" s="341"/>
      <c r="AB270" s="341"/>
      <c r="AC270" s="341"/>
      <c r="AD270" s="341"/>
      <c r="AE270" s="341"/>
      <c r="AF270" s="341"/>
    </row>
    <row r="271" spans="1:32" ht="15" customHeight="1">
      <c r="A271" s="5"/>
      <c r="B271" s="156" t="s">
        <v>704</v>
      </c>
      <c r="C271" s="27"/>
      <c r="D271" s="28" t="s">
        <v>116</v>
      </c>
      <c r="E271" s="12"/>
      <c r="F271" s="29" t="s">
        <v>213</v>
      </c>
      <c r="G271" s="30" t="s">
        <v>214</v>
      </c>
      <c r="H271" s="138" t="s">
        <v>22</v>
      </c>
      <c r="I271" s="138">
        <v>880</v>
      </c>
      <c r="J271" s="169"/>
      <c r="K271" s="30">
        <v>0</v>
      </c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  <c r="AA271" s="341"/>
      <c r="AB271" s="341"/>
      <c r="AC271" s="341"/>
      <c r="AD271" s="341"/>
      <c r="AE271" s="341"/>
      <c r="AF271" s="341"/>
    </row>
    <row r="272" spans="1:32" ht="15" customHeight="1">
      <c r="A272" s="5"/>
      <c r="B272" s="156" t="s">
        <v>705</v>
      </c>
      <c r="C272" s="27"/>
      <c r="D272" s="28" t="s">
        <v>406</v>
      </c>
      <c r="E272" s="12"/>
      <c r="F272" s="29" t="s">
        <v>213</v>
      </c>
      <c r="G272" s="30" t="s">
        <v>214</v>
      </c>
      <c r="H272" s="13" t="s">
        <v>22</v>
      </c>
      <c r="I272" s="138">
        <v>990</v>
      </c>
      <c r="J272" s="169"/>
      <c r="K272" s="30">
        <f t="shared" ref="K272:K280" si="30">I272*J272</f>
        <v>0</v>
      </c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  <c r="AA272" s="341"/>
      <c r="AB272" s="341"/>
      <c r="AC272" s="341"/>
      <c r="AD272" s="341"/>
      <c r="AE272" s="341"/>
      <c r="AF272" s="341"/>
    </row>
    <row r="273" spans="1:32" ht="15" customHeight="1">
      <c r="A273" s="5"/>
      <c r="B273" s="150" t="str">
        <f t="shared" ref="B273:B274" si="31">HYPERLINK("http://www.amare-moscow.ru/catalog/1_tunets/tunets_zhp_file_aa_s_m_0_3_0_5_kg_v_u_10_kg_kitay/","Тунец жп филе саку АА с/м 0,3-0,5 кг  в/у")</f>
        <v>Тунец жп филе саку АА с/м 0,3-0,5 кг  в/у</v>
      </c>
      <c r="C273" s="27"/>
      <c r="D273" s="28" t="s">
        <v>406</v>
      </c>
      <c r="E273" s="12"/>
      <c r="F273" s="29" t="s">
        <v>213</v>
      </c>
      <c r="G273" s="30" t="s">
        <v>214</v>
      </c>
      <c r="H273" s="13" t="s">
        <v>22</v>
      </c>
      <c r="I273" s="13">
        <v>1100</v>
      </c>
      <c r="J273" s="30"/>
      <c r="K273" s="30">
        <f t="shared" si="30"/>
        <v>0</v>
      </c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  <c r="AA273" s="341"/>
      <c r="AB273" s="341"/>
      <c r="AC273" s="341"/>
      <c r="AD273" s="341"/>
      <c r="AE273" s="341"/>
      <c r="AF273" s="341"/>
    </row>
    <row r="274" spans="1:32" ht="15" customHeight="1">
      <c r="A274" s="5"/>
      <c r="B274" s="150" t="str">
        <f t="shared" si="31"/>
        <v>Тунец жп филе саку АА с/м 0,3-0,5 кг  в/у</v>
      </c>
      <c r="C274" s="27"/>
      <c r="D274" s="28" t="s">
        <v>406</v>
      </c>
      <c r="E274" s="12"/>
      <c r="F274" s="29" t="s">
        <v>213</v>
      </c>
      <c r="G274" s="30" t="s">
        <v>341</v>
      </c>
      <c r="H274" s="13" t="s">
        <v>22</v>
      </c>
      <c r="I274" s="13">
        <v>1100</v>
      </c>
      <c r="J274" s="30"/>
      <c r="K274" s="30">
        <f t="shared" si="30"/>
        <v>0</v>
      </c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  <c r="AA274" s="341"/>
      <c r="AB274" s="341"/>
      <c r="AC274" s="341"/>
      <c r="AD274" s="341"/>
      <c r="AE274" s="341"/>
      <c r="AF274" s="341"/>
    </row>
    <row r="275" spans="1:32" ht="15" customHeight="1">
      <c r="A275" s="5"/>
      <c r="B275" s="150" t="str">
        <f>HYPERLINK("http://www.amare-moscow.ru/catalog/1_tunets/tunets_zhp_file_aa_s_m_0_3_0_5_kg_v_u_10_kg_kitay/","Тунец жп филе саку АА трапециевидное с/м 0,3-0,5 кг  в/у")</f>
        <v>Тунец жп филе саку АА трапециевидное с/м 0,3-0,5 кг  в/у</v>
      </c>
      <c r="C275" s="27"/>
      <c r="D275" s="28" t="s">
        <v>406</v>
      </c>
      <c r="E275" s="12"/>
      <c r="F275" s="29" t="s">
        <v>213</v>
      </c>
      <c r="G275" s="30" t="s">
        <v>214</v>
      </c>
      <c r="H275" s="13" t="s">
        <v>22</v>
      </c>
      <c r="I275" s="13">
        <v>980</v>
      </c>
      <c r="J275" s="30"/>
      <c r="K275" s="30">
        <f t="shared" si="30"/>
        <v>0</v>
      </c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</row>
    <row r="276" spans="1:32" ht="15" customHeight="1">
      <c r="A276" s="5"/>
      <c r="B276" s="420" t="str">
        <f>HYPERLINK("http://www.amare-moscow.ru/catalog/1_tunets/tunets_zhp_file_saku_aa_s_m_0_3_0_5_kg_v_u_don_kreveton_10_kg_kitay/","Тунец филе АА с/м 0,3-0,5 кг  в/у  ")</f>
        <v xml:space="preserve">Тунец филе АА с/м 0,3-0,5 кг  в/у  </v>
      </c>
      <c r="C276" s="76"/>
      <c r="D276" s="77" t="s">
        <v>406</v>
      </c>
      <c r="E276" s="81"/>
      <c r="F276" s="79" t="s">
        <v>213</v>
      </c>
      <c r="G276" s="80" t="s">
        <v>244</v>
      </c>
      <c r="H276" s="82" t="s">
        <v>22</v>
      </c>
      <c r="I276" s="421">
        <v>970</v>
      </c>
      <c r="J276" s="80"/>
      <c r="K276" s="80">
        <f t="shared" si="30"/>
        <v>0</v>
      </c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  <c r="AA276" s="341"/>
      <c r="AB276" s="341"/>
      <c r="AC276" s="341"/>
      <c r="AD276" s="341"/>
      <c r="AE276" s="341"/>
      <c r="AF276" s="341"/>
    </row>
    <row r="277" spans="1:32" ht="15" customHeight="1">
      <c r="A277" s="5"/>
      <c r="B277" s="150" t="str">
        <f>HYPERLINK("http://www.amare-moscow.ru/catalog/1_tunets/tunets_zhp_file_saku_aaa_s_m_0_45_kg_v_u_don_kreveton_10_kg_vetnam/","Тунец жп филе саку ААА с/м 0,3+ кг  в/у ")</f>
        <v xml:space="preserve">Тунец жп филе саку ААА с/м 0,3+ кг  в/у </v>
      </c>
      <c r="C277" s="27"/>
      <c r="D277" s="28" t="s">
        <v>406</v>
      </c>
      <c r="E277" s="12"/>
      <c r="F277" s="29" t="s">
        <v>213</v>
      </c>
      <c r="G277" s="30" t="s">
        <v>341</v>
      </c>
      <c r="H277" s="13" t="s">
        <v>22</v>
      </c>
      <c r="I277" s="13">
        <v>1170</v>
      </c>
      <c r="J277" s="30"/>
      <c r="K277" s="30">
        <f t="shared" si="30"/>
        <v>0</v>
      </c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  <c r="AA277" s="341"/>
      <c r="AB277" s="341"/>
      <c r="AC277" s="341"/>
      <c r="AD277" s="341"/>
      <c r="AE277" s="341"/>
      <c r="AF277" s="341"/>
    </row>
    <row r="278" spans="1:32" ht="15" customHeight="1">
      <c r="A278" s="5"/>
      <c r="B278" s="150" t="str">
        <f>HYPERLINK("http://www.amare-moscow.ru/catalog/1_tunets/tunets_zhp_file_saku_aaa_s_m_0_5_kg_v_u_don_kreveton_10_kg_kitay/","Тунец жп филе саку ААА с/м 0,5+ кг  в/у")</f>
        <v>Тунец жп филе саку ААА с/м 0,5+ кг  в/у</v>
      </c>
      <c r="C278" s="27"/>
      <c r="D278" s="28" t="s">
        <v>406</v>
      </c>
      <c r="E278" s="12"/>
      <c r="F278" s="29" t="s">
        <v>213</v>
      </c>
      <c r="G278" s="30" t="s">
        <v>214</v>
      </c>
      <c r="H278" s="13" t="s">
        <v>22</v>
      </c>
      <c r="I278" s="13">
        <v>1130</v>
      </c>
      <c r="J278" s="30"/>
      <c r="K278" s="30">
        <f t="shared" si="30"/>
        <v>0</v>
      </c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  <c r="AA278" s="341"/>
      <c r="AB278" s="341"/>
      <c r="AC278" s="341"/>
      <c r="AD278" s="341"/>
      <c r="AE278" s="341"/>
      <c r="AF278" s="341"/>
    </row>
    <row r="279" spans="1:32" ht="15" customHeight="1">
      <c r="A279" s="5"/>
      <c r="B279" s="150" t="str">
        <f>HYPERLINK("http://www.amare-moscow.ru/catalog/1_tunets/tunets_zhp_file_saku_aaa_s_m_0_5_kg_v_u_don_kreveton_10_kg_kitay/","Тунец жп филе саку ААА трапециевидное с/м 0,5+ кг  в/у")</f>
        <v>Тунец жп филе саку ААА трапециевидное с/м 0,5+ кг  в/у</v>
      </c>
      <c r="C279" s="27"/>
      <c r="D279" s="28" t="s">
        <v>406</v>
      </c>
      <c r="E279" s="12"/>
      <c r="F279" s="29" t="s">
        <v>213</v>
      </c>
      <c r="G279" s="30" t="s">
        <v>214</v>
      </c>
      <c r="H279" s="13" t="s">
        <v>22</v>
      </c>
      <c r="I279" s="13">
        <v>1020</v>
      </c>
      <c r="J279" s="30"/>
      <c r="K279" s="30">
        <f t="shared" si="30"/>
        <v>0</v>
      </c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  <c r="AA279" s="341"/>
      <c r="AB279" s="341"/>
      <c r="AC279" s="341"/>
      <c r="AD279" s="341"/>
      <c r="AE279" s="341"/>
      <c r="AF279" s="341"/>
    </row>
    <row r="280" spans="1:32" ht="15" customHeight="1">
      <c r="A280" s="5"/>
      <c r="B280" s="150" t="str">
        <f>HYPERLINK("http://www.amare-moscow.ru/catalog/1_tunets/tunets_zhp_file_loin_s_m_2_kg_v_u_don_kreveton_25_kg_kitay/","Тунец жп филе лоин с/м 2+ кг  в/у")</f>
        <v>Тунец жп филе лоин с/м 2+ кг  в/у</v>
      </c>
      <c r="C280" s="27"/>
      <c r="D280" s="28" t="s">
        <v>460</v>
      </c>
      <c r="E280" s="12"/>
      <c r="F280" s="29" t="s">
        <v>213</v>
      </c>
      <c r="G280" s="30" t="s">
        <v>706</v>
      </c>
      <c r="H280" s="13" t="s">
        <v>22</v>
      </c>
      <c r="I280" s="13">
        <v>710</v>
      </c>
      <c r="J280" s="30"/>
      <c r="K280" s="30">
        <f t="shared" si="30"/>
        <v>0</v>
      </c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  <c r="AA280" s="341"/>
      <c r="AB280" s="341"/>
      <c r="AC280" s="341"/>
      <c r="AD280" s="341"/>
      <c r="AE280" s="341"/>
      <c r="AF280" s="341"/>
    </row>
    <row r="281" spans="1:32" ht="15" customHeight="1">
      <c r="A281" s="5"/>
      <c r="B281" s="150" t="str">
        <f>HYPERLINK("http://www.amare-moscow.ru/catalog/1_tunets/tunets_zhp_file_loin_s_m_2_kg_v_u_don_kreveton_25_kg_kitay/","Тунец жп филе лоин с/м 2+ кг Б в/у")</f>
        <v>Тунец жп филе лоин с/м 2+ кг Б в/у</v>
      </c>
      <c r="C281" s="27"/>
      <c r="D281" s="28" t="s">
        <v>707</v>
      </c>
      <c r="E281" s="12"/>
      <c r="F281" s="29" t="s">
        <v>213</v>
      </c>
      <c r="G281" s="30" t="s">
        <v>214</v>
      </c>
      <c r="H281" s="13" t="s">
        <v>22</v>
      </c>
      <c r="I281" s="13" t="s">
        <v>143</v>
      </c>
      <c r="J281" s="30"/>
      <c r="K281" s="30">
        <v>0</v>
      </c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  <c r="AA281" s="341"/>
      <c r="AB281" s="341"/>
      <c r="AC281" s="341"/>
      <c r="AD281" s="341"/>
      <c r="AE281" s="341"/>
      <c r="AF281" s="341"/>
    </row>
    <row r="282" spans="1:32" ht="15" customHeight="1">
      <c r="A282" s="5"/>
      <c r="B282" s="156" t="s">
        <v>487</v>
      </c>
      <c r="C282" s="27"/>
      <c r="D282" s="28" t="s">
        <v>116</v>
      </c>
      <c r="E282" s="12"/>
      <c r="F282" s="29" t="s">
        <v>213</v>
      </c>
      <c r="G282" s="30" t="s">
        <v>244</v>
      </c>
      <c r="H282" s="13" t="s">
        <v>22</v>
      </c>
      <c r="I282" s="13">
        <v>990</v>
      </c>
      <c r="J282" s="30"/>
      <c r="K282" s="30">
        <v>0</v>
      </c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  <c r="AA282" s="341"/>
      <c r="AB282" s="341"/>
      <c r="AC282" s="341"/>
      <c r="AD282" s="341"/>
      <c r="AE282" s="341"/>
      <c r="AF282" s="341"/>
    </row>
    <row r="283" spans="1:32" ht="15" customHeight="1">
      <c r="A283" s="5"/>
      <c r="B283" s="156" t="s">
        <v>488</v>
      </c>
      <c r="C283" s="27"/>
      <c r="D283" s="28" t="s">
        <v>339</v>
      </c>
      <c r="E283" s="12"/>
      <c r="F283" s="29" t="s">
        <v>213</v>
      </c>
      <c r="G283" s="30" t="s">
        <v>214</v>
      </c>
      <c r="H283" s="13" t="s">
        <v>22</v>
      </c>
      <c r="I283" s="13">
        <v>590</v>
      </c>
      <c r="J283" s="30"/>
      <c r="K283" s="30">
        <f t="shared" ref="K283:K284" si="32">I283*J283</f>
        <v>0</v>
      </c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  <c r="AA283" s="341"/>
      <c r="AB283" s="341"/>
      <c r="AC283" s="341"/>
      <c r="AD283" s="341"/>
      <c r="AE283" s="341"/>
      <c r="AF283" s="341"/>
    </row>
    <row r="284" spans="1:32" ht="15" customHeight="1">
      <c r="A284" s="5"/>
      <c r="B284" s="150" t="str">
        <f>HYPERLINK("http://www.amare-moscow.ru/catalog/1_tunets/tunets_zhp_steyk_portsionnyy_s_m_50gr_v_u_1kg_10sht_kitay/","Тунец жп стейк порционный с/м 50гр+  в/у")</f>
        <v>Тунец жп стейк порционный с/м 50гр+  в/у</v>
      </c>
      <c r="C284" s="27"/>
      <c r="D284" s="28" t="s">
        <v>391</v>
      </c>
      <c r="E284" s="12"/>
      <c r="F284" s="29" t="s">
        <v>213</v>
      </c>
      <c r="G284" s="30" t="s">
        <v>214</v>
      </c>
      <c r="H284" s="13" t="s">
        <v>22</v>
      </c>
      <c r="I284" s="13">
        <v>590</v>
      </c>
      <c r="J284" s="30"/>
      <c r="K284" s="30">
        <f t="shared" si="32"/>
        <v>0</v>
      </c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  <c r="AA284" s="341"/>
      <c r="AB284" s="341"/>
      <c r="AC284" s="341"/>
      <c r="AD284" s="341"/>
      <c r="AE284" s="341"/>
      <c r="AF284" s="341"/>
    </row>
    <row r="285" spans="1:32" ht="15" customHeight="1">
      <c r="A285" s="5"/>
      <c r="B285" s="374" t="s">
        <v>489</v>
      </c>
      <c r="C285" s="76"/>
      <c r="D285" s="77" t="s">
        <v>339</v>
      </c>
      <c r="E285" s="81"/>
      <c r="F285" s="79" t="s">
        <v>213</v>
      </c>
      <c r="G285" s="80" t="s">
        <v>341</v>
      </c>
      <c r="H285" s="82"/>
      <c r="I285" s="421">
        <v>590</v>
      </c>
      <c r="J285" s="80"/>
      <c r="K285" s="80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  <c r="AA285" s="341"/>
      <c r="AB285" s="341"/>
      <c r="AC285" s="341"/>
      <c r="AD285" s="341"/>
      <c r="AE285" s="341"/>
      <c r="AF285" s="341"/>
    </row>
    <row r="286" spans="1:32" ht="15" customHeight="1">
      <c r="A286" s="5"/>
      <c r="B286" s="160" t="s">
        <v>489</v>
      </c>
      <c r="C286" s="56"/>
      <c r="D286" s="57" t="s">
        <v>339</v>
      </c>
      <c r="E286" s="135"/>
      <c r="F286" s="59" t="s">
        <v>213</v>
      </c>
      <c r="G286" s="60" t="s">
        <v>337</v>
      </c>
      <c r="H286" s="136" t="s">
        <v>22</v>
      </c>
      <c r="I286" s="422">
        <v>500</v>
      </c>
      <c r="J286" s="60"/>
      <c r="K286" s="60">
        <f>I286*J286</f>
        <v>0</v>
      </c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  <c r="AA286" s="341"/>
      <c r="AB286" s="341"/>
      <c r="AC286" s="341"/>
      <c r="AD286" s="341"/>
      <c r="AE286" s="341"/>
      <c r="AF286" s="341"/>
    </row>
    <row r="287" spans="1:32" ht="26.25" customHeight="1">
      <c r="A287" s="20"/>
      <c r="B287" s="200" t="str">
        <f>HYPERLINK("http://www.amare-moscow.ru/catalog/2_losos/","Лосось")</f>
        <v>Лосось</v>
      </c>
      <c r="C287" s="22"/>
      <c r="D287" s="23" t="s">
        <v>28</v>
      </c>
      <c r="E287" s="23" t="s">
        <v>29</v>
      </c>
      <c r="F287" s="24" t="s">
        <v>30</v>
      </c>
      <c r="G287" s="23" t="s">
        <v>31</v>
      </c>
      <c r="H287" s="25" t="s">
        <v>32</v>
      </c>
      <c r="I287" s="24" t="s">
        <v>33</v>
      </c>
      <c r="J287" s="24" t="s">
        <v>34</v>
      </c>
      <c r="K287" s="23" t="s">
        <v>35</v>
      </c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  <c r="AA287" s="341"/>
      <c r="AB287" s="341"/>
      <c r="AC287" s="341"/>
      <c r="AD287" s="341"/>
      <c r="AE287" s="341"/>
      <c r="AF287" s="341"/>
    </row>
    <row r="288" spans="1:32" ht="15" customHeight="1">
      <c r="A288" s="5"/>
      <c r="B288" s="150" t="str">
        <f>HYPERLINK("http://www.amare-moscow.ru/catalog/2_losos/gorbusha_pbg_s_m_0_5_1_0_kg_blok_2_11_kg_rossiya/","Горбуша ПБГ с/м 1,0+ кг блок")</f>
        <v>Горбуша ПБГ с/м 1,0+ кг блок</v>
      </c>
      <c r="C288" s="27"/>
      <c r="D288" s="28" t="s">
        <v>686</v>
      </c>
      <c r="E288" s="12"/>
      <c r="F288" s="29" t="s">
        <v>39</v>
      </c>
      <c r="G288" s="30" t="s">
        <v>305</v>
      </c>
      <c r="H288" s="13" t="s">
        <v>22</v>
      </c>
      <c r="I288" s="13">
        <v>190</v>
      </c>
      <c r="J288" s="30"/>
      <c r="K288" s="30">
        <f t="shared" ref="K288:K290" si="33">I288*J288</f>
        <v>0</v>
      </c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  <c r="AA288" s="341"/>
      <c r="AB288" s="341"/>
      <c r="AC288" s="341"/>
      <c r="AD288" s="341"/>
      <c r="AE288" s="341"/>
      <c r="AF288" s="341"/>
    </row>
    <row r="289" spans="1:32" ht="15" customHeight="1">
      <c r="A289" s="5"/>
      <c r="B289" s="150" t="str">
        <f>HYPERLINK("http://www.amare-moscow.ru/catalog/2_losos/keta_pbg_s_m_2_blok_2_10_kg_rossiya/","Кета ПБГ с/м 2+ блок ")</f>
        <v xml:space="preserve">Кета ПБГ с/м 2+ блок </v>
      </c>
      <c r="C289" s="27"/>
      <c r="D289" s="28" t="s">
        <v>708</v>
      </c>
      <c r="E289" s="12"/>
      <c r="F289" s="29" t="s">
        <v>39</v>
      </c>
      <c r="G289" s="30" t="s">
        <v>305</v>
      </c>
      <c r="H289" s="13" t="s">
        <v>22</v>
      </c>
      <c r="I289" s="13">
        <v>320</v>
      </c>
      <c r="J289" s="30"/>
      <c r="K289" s="30">
        <f t="shared" si="33"/>
        <v>0</v>
      </c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  <c r="AA289" s="341"/>
      <c r="AB289" s="341"/>
      <c r="AC289" s="341"/>
      <c r="AD289" s="341"/>
      <c r="AE289" s="341"/>
      <c r="AF289" s="341"/>
    </row>
    <row r="290" spans="1:32" ht="15" customHeight="1">
      <c r="A290" s="5"/>
      <c r="B290" s="150" t="str">
        <f>HYPERLINK("http://www.amare-moscow.ru/catalog/2_losos/nerka_pbg_s_m_1_8_2_7_kg_2_11_kg_rossiya/","Нерка ПБГ с/м 2+ кг блок")</f>
        <v>Нерка ПБГ с/м 2+ кг блок</v>
      </c>
      <c r="C290" s="27"/>
      <c r="D290" s="28" t="s">
        <v>709</v>
      </c>
      <c r="E290" s="12"/>
      <c r="F290" s="29" t="s">
        <v>39</v>
      </c>
      <c r="G290" s="30" t="s">
        <v>305</v>
      </c>
      <c r="H290" s="13" t="s">
        <v>22</v>
      </c>
      <c r="I290" s="13">
        <v>530</v>
      </c>
      <c r="J290" s="30"/>
      <c r="K290" s="30">
        <f t="shared" si="33"/>
        <v>0</v>
      </c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  <c r="AA290" s="341"/>
      <c r="AB290" s="341"/>
      <c r="AC290" s="341"/>
      <c r="AD290" s="341"/>
      <c r="AE290" s="341"/>
      <c r="AF290" s="341"/>
    </row>
    <row r="291" spans="1:32" ht="15" customHeight="1">
      <c r="A291" s="5"/>
      <c r="B291" s="150" t="str">
        <f>HYPERLINK("http://www.amare-moscow.ru/catalog/2_losos/losos_psg_s_m_4_5_kg_premium_30_kg_chili/","Лосось ПСГ  с/м 4-5 кг   Премиум")</f>
        <v>Лосось ПСГ  с/м 4-5 кг   Премиум</v>
      </c>
      <c r="C291" s="27"/>
      <c r="D291" s="28" t="s">
        <v>490</v>
      </c>
      <c r="E291" s="12"/>
      <c r="F291" s="29" t="s">
        <v>213</v>
      </c>
      <c r="G291" s="30" t="s">
        <v>491</v>
      </c>
      <c r="H291" s="13" t="s">
        <v>22</v>
      </c>
      <c r="I291" s="13" t="s">
        <v>143</v>
      </c>
      <c r="J291" s="30"/>
      <c r="K291" s="30">
        <v>0</v>
      </c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  <c r="AA291" s="341"/>
      <c r="AB291" s="341"/>
      <c r="AC291" s="341"/>
      <c r="AD291" s="341"/>
      <c r="AE291" s="341"/>
      <c r="AF291" s="341"/>
    </row>
    <row r="292" spans="1:32" ht="17.25" customHeight="1">
      <c r="A292" s="95"/>
      <c r="B292" s="423" t="s">
        <v>710</v>
      </c>
      <c r="C292" s="424"/>
      <c r="D292" s="425" t="s">
        <v>711</v>
      </c>
      <c r="E292" s="217"/>
      <c r="F292" s="29" t="s">
        <v>39</v>
      </c>
      <c r="G292" s="30" t="s">
        <v>305</v>
      </c>
      <c r="H292" s="13" t="s">
        <v>22</v>
      </c>
      <c r="I292" s="29">
        <v>610</v>
      </c>
      <c r="J292" s="29"/>
      <c r="K292" s="30">
        <v>0</v>
      </c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  <c r="AA292" s="341"/>
      <c r="AB292" s="341"/>
      <c r="AC292" s="341"/>
      <c r="AD292" s="341"/>
      <c r="AE292" s="341"/>
      <c r="AF292" s="341"/>
    </row>
    <row r="293" spans="1:32" ht="26.25" customHeight="1">
      <c r="A293" s="20"/>
      <c r="B293" s="200" t="str">
        <f>HYPERLINK("http://www.amare-moscow.ru/catalog/4_sibas_dorada_rechnaya_forel/","Сибас, Дорада, Речная форель")</f>
        <v>Сибас, Дорада, Речная форель</v>
      </c>
      <c r="C293" s="22"/>
      <c r="D293" s="23" t="s">
        <v>28</v>
      </c>
      <c r="E293" s="23" t="s">
        <v>29</v>
      </c>
      <c r="F293" s="24" t="s">
        <v>30</v>
      </c>
      <c r="G293" s="23" t="s">
        <v>31</v>
      </c>
      <c r="H293" s="25" t="s">
        <v>32</v>
      </c>
      <c r="I293" s="24" t="s">
        <v>33</v>
      </c>
      <c r="J293" s="24" t="s">
        <v>34</v>
      </c>
      <c r="K293" s="23" t="s">
        <v>35</v>
      </c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  <c r="AA293" s="341"/>
      <c r="AB293" s="341"/>
      <c r="AC293" s="341"/>
      <c r="AD293" s="341"/>
      <c r="AE293" s="341"/>
      <c r="AF293" s="341"/>
    </row>
    <row r="294" spans="1:32" ht="15" customHeight="1">
      <c r="A294" s="5"/>
      <c r="B294" s="150" t="str">
        <f t="shared" ref="B294:B295" si="34">HYPERLINK("http://www.amare-moscow.ru/catalog/4_sibas_dorada_rechnaya_forel/dorada_n_r_s_m_0_3_0_4_kg_5_kg_turtsiya/","Дорада н/р с/м 0,3-0,4 кг ")</f>
        <v xml:space="preserve">Дорада н/р с/м 0,3-0,4 кг </v>
      </c>
      <c r="C294" s="27"/>
      <c r="D294" s="28" t="s">
        <v>492</v>
      </c>
      <c r="E294" s="12"/>
      <c r="F294" s="29" t="s">
        <v>213</v>
      </c>
      <c r="G294" s="11" t="s">
        <v>493</v>
      </c>
      <c r="H294" s="13" t="s">
        <v>22</v>
      </c>
      <c r="I294" s="13">
        <v>410</v>
      </c>
      <c r="J294" s="30"/>
      <c r="K294" s="30">
        <f t="shared" ref="K294:K299" si="35">I294*J294</f>
        <v>0</v>
      </c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  <c r="AA294" s="341"/>
      <c r="AB294" s="341"/>
      <c r="AC294" s="341"/>
      <c r="AD294" s="341"/>
      <c r="AE294" s="341"/>
      <c r="AF294" s="341"/>
    </row>
    <row r="295" spans="1:32" ht="15" customHeight="1">
      <c r="A295" s="5"/>
      <c r="B295" s="150" t="str">
        <f t="shared" si="34"/>
        <v xml:space="preserve">Дорада н/р с/м 0,3-0,4 кг </v>
      </c>
      <c r="C295" s="27"/>
      <c r="D295" s="28" t="s">
        <v>682</v>
      </c>
      <c r="E295" s="12"/>
      <c r="F295" s="29" t="s">
        <v>213</v>
      </c>
      <c r="G295" s="11" t="s">
        <v>493</v>
      </c>
      <c r="H295" s="13" t="s">
        <v>22</v>
      </c>
      <c r="I295" s="13">
        <v>420</v>
      </c>
      <c r="J295" s="30"/>
      <c r="K295" s="30">
        <f t="shared" si="35"/>
        <v>0</v>
      </c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  <c r="AA295" s="341"/>
      <c r="AB295" s="341"/>
      <c r="AC295" s="341"/>
      <c r="AD295" s="341"/>
      <c r="AE295" s="341"/>
      <c r="AF295" s="341"/>
    </row>
    <row r="296" spans="1:32" ht="15" customHeight="1">
      <c r="A296" s="5"/>
      <c r="B296" s="150" t="str">
        <f>HYPERLINK("http://www.amare-moscow.ru/catalog/4_sibas_dorada_rechnaya_forel/dorada_n_r_s_m_0_3_0_4_kg_5_kg_turtsiya/","Дорада ПСГ без чешуи с/м 0,3-0,4 кг ")</f>
        <v xml:space="preserve">Дорада ПСГ без чешуи с/м 0,3-0,4 кг </v>
      </c>
      <c r="C296" s="27"/>
      <c r="D296" s="28" t="s">
        <v>682</v>
      </c>
      <c r="E296" s="12"/>
      <c r="F296" s="29" t="s">
        <v>213</v>
      </c>
      <c r="G296" s="11" t="s">
        <v>493</v>
      </c>
      <c r="H296" s="13" t="s">
        <v>22</v>
      </c>
      <c r="I296" s="13">
        <v>560</v>
      </c>
      <c r="J296" s="30"/>
      <c r="K296" s="30">
        <f t="shared" si="35"/>
        <v>0</v>
      </c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  <c r="AA296" s="341"/>
      <c r="AB296" s="341"/>
      <c r="AC296" s="341"/>
      <c r="AD296" s="341"/>
      <c r="AE296" s="341"/>
      <c r="AF296" s="341"/>
    </row>
    <row r="297" spans="1:32" ht="15" customHeight="1">
      <c r="A297" s="5"/>
      <c r="B297" s="150" t="str">
        <f t="shared" ref="B297:B298" si="36">HYPERLINK("http://www.amare-moscow.ru/catalog/4_sibas_dorada_rechnaya_forel/sibas_s_m_0_3_0_4_kg_10_kg_turtsiya/","Сибас н/р  с/м 0,3-0,4 кг ")</f>
        <v xml:space="preserve">Сибас н/р  с/м 0,3-0,4 кг </v>
      </c>
      <c r="C297" s="27"/>
      <c r="D297" s="28" t="s">
        <v>492</v>
      </c>
      <c r="E297" s="12"/>
      <c r="F297" s="29" t="s">
        <v>213</v>
      </c>
      <c r="G297" s="11" t="s">
        <v>493</v>
      </c>
      <c r="H297" s="13" t="s">
        <v>22</v>
      </c>
      <c r="I297" s="13">
        <v>360</v>
      </c>
      <c r="J297" s="30"/>
      <c r="K297" s="30">
        <f t="shared" si="35"/>
        <v>0</v>
      </c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  <c r="AA297" s="341"/>
      <c r="AB297" s="341"/>
      <c r="AC297" s="341"/>
      <c r="AD297" s="341"/>
      <c r="AE297" s="341"/>
      <c r="AF297" s="341"/>
    </row>
    <row r="298" spans="1:32" ht="15" customHeight="1">
      <c r="A298" s="5"/>
      <c r="B298" s="150" t="str">
        <f t="shared" si="36"/>
        <v xml:space="preserve">Сибас н/р  с/м 0,3-0,4 кг </v>
      </c>
      <c r="C298" s="7"/>
      <c r="D298" s="28" t="s">
        <v>682</v>
      </c>
      <c r="E298" s="12"/>
      <c r="F298" s="29" t="s">
        <v>213</v>
      </c>
      <c r="G298" s="11" t="s">
        <v>493</v>
      </c>
      <c r="H298" s="13" t="s">
        <v>22</v>
      </c>
      <c r="I298" s="13">
        <v>380</v>
      </c>
      <c r="J298" s="11"/>
      <c r="K298" s="30">
        <f t="shared" si="35"/>
        <v>0</v>
      </c>
      <c r="L298" s="373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  <c r="AA298" s="341"/>
      <c r="AB298" s="341"/>
      <c r="AC298" s="341"/>
      <c r="AD298" s="341"/>
      <c r="AE298" s="341"/>
      <c r="AF298" s="341"/>
    </row>
    <row r="299" spans="1:32" ht="15" customHeight="1">
      <c r="A299" s="5"/>
      <c r="B299" s="150" t="str">
        <f>HYPERLINK("http://www.amare-moscow.ru/catalog/4_sibas_dorada_rechnaya_forel/dorada_n_r_s_m_0_3_0_4_kg_5_kg_turtsiya/","Сибас ПСГ без чешуи с/м 0,3-0,4 кг ")</f>
        <v xml:space="preserve">Сибас ПСГ без чешуи с/м 0,3-0,4 кг </v>
      </c>
      <c r="C299" s="7"/>
      <c r="D299" s="28" t="s">
        <v>682</v>
      </c>
      <c r="E299" s="12"/>
      <c r="F299" s="29" t="s">
        <v>213</v>
      </c>
      <c r="G299" s="11" t="s">
        <v>493</v>
      </c>
      <c r="H299" s="13" t="s">
        <v>22</v>
      </c>
      <c r="I299" s="13">
        <v>530</v>
      </c>
      <c r="J299" s="11"/>
      <c r="K299" s="30">
        <f t="shared" si="35"/>
        <v>0</v>
      </c>
      <c r="L299" s="373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  <c r="AA299" s="341"/>
      <c r="AB299" s="341"/>
      <c r="AC299" s="341"/>
      <c r="AD299" s="341"/>
      <c r="AE299" s="341"/>
      <c r="AF299" s="341"/>
    </row>
    <row r="300" spans="1:32" ht="15" customHeight="1">
      <c r="A300" s="5"/>
      <c r="B300" s="176" t="s">
        <v>712</v>
      </c>
      <c r="C300" s="7"/>
      <c r="D300" s="67" t="s">
        <v>406</v>
      </c>
      <c r="E300" s="12"/>
      <c r="F300" s="10" t="s">
        <v>213</v>
      </c>
      <c r="G300" s="11" t="s">
        <v>493</v>
      </c>
      <c r="H300" s="13" t="s">
        <v>22</v>
      </c>
      <c r="I300" s="13" t="s">
        <v>143</v>
      </c>
      <c r="J300" s="11"/>
      <c r="K300" s="30">
        <v>0</v>
      </c>
      <c r="L300" s="373" t="s">
        <v>713</v>
      </c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  <c r="AA300" s="341"/>
      <c r="AB300" s="341"/>
      <c r="AC300" s="341"/>
      <c r="AD300" s="341"/>
      <c r="AE300" s="341"/>
      <c r="AF300" s="341"/>
    </row>
    <row r="301" spans="1:32" ht="15" customHeight="1">
      <c r="A301" s="5"/>
      <c r="B301" s="160" t="s">
        <v>714</v>
      </c>
      <c r="C301" s="56"/>
      <c r="D301" s="57" t="s">
        <v>406</v>
      </c>
      <c r="E301" s="135"/>
      <c r="F301" s="59" t="s">
        <v>213</v>
      </c>
      <c r="G301" s="60" t="s">
        <v>493</v>
      </c>
      <c r="H301" s="136" t="s">
        <v>22</v>
      </c>
      <c r="I301" s="240">
        <v>320</v>
      </c>
      <c r="J301" s="60"/>
      <c r="K301" s="60">
        <f t="shared" ref="K301:K303" si="37">I301*J301</f>
        <v>0</v>
      </c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  <c r="AA301" s="341"/>
      <c r="AB301" s="341"/>
      <c r="AC301" s="341"/>
      <c r="AD301" s="341"/>
      <c r="AE301" s="341"/>
      <c r="AF301" s="341"/>
    </row>
    <row r="302" spans="1:32" ht="15" customHeight="1">
      <c r="A302" s="5"/>
      <c r="B302" s="160" t="s">
        <v>715</v>
      </c>
      <c r="C302" s="56"/>
      <c r="D302" s="57" t="s">
        <v>406</v>
      </c>
      <c r="E302" s="135"/>
      <c r="F302" s="59" t="s">
        <v>213</v>
      </c>
      <c r="G302" s="60" t="s">
        <v>493</v>
      </c>
      <c r="H302" s="136" t="s">
        <v>22</v>
      </c>
      <c r="I302" s="240">
        <v>320</v>
      </c>
      <c r="J302" s="60"/>
      <c r="K302" s="60">
        <f t="shared" si="37"/>
        <v>0</v>
      </c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  <c r="AA302" s="341"/>
      <c r="AB302" s="341"/>
      <c r="AC302" s="341"/>
      <c r="AD302" s="341"/>
      <c r="AE302" s="341"/>
      <c r="AF302" s="341"/>
    </row>
    <row r="303" spans="1:32" ht="15" customHeight="1">
      <c r="A303" s="5"/>
      <c r="B303" s="160" t="s">
        <v>716</v>
      </c>
      <c r="C303" s="56"/>
      <c r="D303" s="57" t="s">
        <v>406</v>
      </c>
      <c r="E303" s="135"/>
      <c r="F303" s="59" t="s">
        <v>213</v>
      </c>
      <c r="G303" s="60" t="s">
        <v>493</v>
      </c>
      <c r="H303" s="136" t="s">
        <v>22</v>
      </c>
      <c r="I303" s="240">
        <v>320</v>
      </c>
      <c r="J303" s="60"/>
      <c r="K303" s="60">
        <f t="shared" si="37"/>
        <v>0</v>
      </c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  <c r="AA303" s="341"/>
      <c r="AB303" s="341"/>
      <c r="AC303" s="341"/>
      <c r="AD303" s="341"/>
      <c r="AE303" s="341"/>
      <c r="AF303" s="341"/>
    </row>
    <row r="304" spans="1:32" ht="26.25" customHeight="1">
      <c r="A304" s="20"/>
      <c r="B304" s="200" t="str">
        <f>HYPERLINK("http://www.amare-moscow.ru/catalog/5_ostalnaya_ryba/","Остальная рыба")</f>
        <v>Остальная рыба</v>
      </c>
      <c r="C304" s="22"/>
      <c r="D304" s="23" t="s">
        <v>28</v>
      </c>
      <c r="E304" s="23" t="s">
        <v>29</v>
      </c>
      <c r="F304" s="24" t="s">
        <v>30</v>
      </c>
      <c r="G304" s="23" t="s">
        <v>31</v>
      </c>
      <c r="H304" s="25" t="s">
        <v>32</v>
      </c>
      <c r="I304" s="24" t="s">
        <v>33</v>
      </c>
      <c r="J304" s="24" t="s">
        <v>34</v>
      </c>
      <c r="K304" s="23" t="s">
        <v>35</v>
      </c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</row>
    <row r="305" spans="1:32" ht="15" customHeight="1">
      <c r="A305" s="5"/>
      <c r="B305" s="156" t="s">
        <v>717</v>
      </c>
      <c r="C305" s="7"/>
      <c r="D305" s="67" t="s">
        <v>718</v>
      </c>
      <c r="E305" s="12"/>
      <c r="F305" s="29" t="s">
        <v>213</v>
      </c>
      <c r="G305" s="30" t="s">
        <v>305</v>
      </c>
      <c r="H305" s="138" t="s">
        <v>22</v>
      </c>
      <c r="I305" s="138">
        <v>155</v>
      </c>
      <c r="J305" s="169"/>
      <c r="K305" s="30">
        <v>0</v>
      </c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  <c r="AA305" s="341"/>
      <c r="AB305" s="341"/>
      <c r="AC305" s="341"/>
      <c r="AD305" s="341"/>
      <c r="AE305" s="341"/>
      <c r="AF305" s="341"/>
    </row>
    <row r="306" spans="1:32" ht="15" customHeight="1">
      <c r="A306" s="5"/>
      <c r="B306" s="156" t="s">
        <v>719</v>
      </c>
      <c r="C306" s="7"/>
      <c r="D306" s="67" t="s">
        <v>116</v>
      </c>
      <c r="E306" s="12" t="s">
        <v>720</v>
      </c>
      <c r="F306" s="29" t="s">
        <v>213</v>
      </c>
      <c r="G306" s="30" t="s">
        <v>305</v>
      </c>
      <c r="H306" s="13" t="s">
        <v>22</v>
      </c>
      <c r="I306" s="138">
        <v>200</v>
      </c>
      <c r="J306" s="169"/>
      <c r="K306" s="30">
        <v>0</v>
      </c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  <c r="AA306" s="341"/>
      <c r="AB306" s="341"/>
      <c r="AC306" s="341"/>
      <c r="AD306" s="341"/>
      <c r="AE306" s="341"/>
      <c r="AF306" s="341"/>
    </row>
    <row r="307" spans="1:32" ht="15" customHeight="1">
      <c r="A307" s="5"/>
      <c r="B307" s="176" t="s">
        <v>721</v>
      </c>
      <c r="C307" s="7"/>
      <c r="D307" s="67" t="s">
        <v>722</v>
      </c>
      <c r="E307" s="12"/>
      <c r="F307" s="29" t="s">
        <v>213</v>
      </c>
      <c r="G307" s="30" t="s">
        <v>305</v>
      </c>
      <c r="H307" s="13" t="s">
        <v>22</v>
      </c>
      <c r="I307" s="13">
        <v>125</v>
      </c>
      <c r="J307" s="30"/>
      <c r="K307" s="30">
        <v>0</v>
      </c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  <c r="AA307" s="341"/>
      <c r="AB307" s="341"/>
      <c r="AC307" s="341"/>
      <c r="AD307" s="341"/>
      <c r="AE307" s="341"/>
      <c r="AF307" s="341"/>
    </row>
    <row r="308" spans="1:32" ht="15" customHeight="1">
      <c r="A308" s="5"/>
      <c r="B308" s="176" t="s">
        <v>723</v>
      </c>
      <c r="C308" s="7"/>
      <c r="D308" s="67">
        <v>22</v>
      </c>
      <c r="E308" s="12"/>
      <c r="F308" s="29" t="s">
        <v>213</v>
      </c>
      <c r="G308" s="30" t="s">
        <v>724</v>
      </c>
      <c r="H308" s="13" t="s">
        <v>22</v>
      </c>
      <c r="I308" s="13">
        <v>215</v>
      </c>
      <c r="J308" s="30"/>
      <c r="K308" s="30">
        <v>0</v>
      </c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  <c r="AA308" s="341"/>
      <c r="AB308" s="341"/>
      <c r="AC308" s="341"/>
      <c r="AD308" s="341"/>
      <c r="AE308" s="341"/>
      <c r="AF308" s="341"/>
    </row>
    <row r="309" spans="1:32" ht="15" customHeight="1">
      <c r="A309" s="5"/>
      <c r="B309" s="176" t="s">
        <v>725</v>
      </c>
      <c r="C309" s="7"/>
      <c r="D309" s="67" t="s">
        <v>726</v>
      </c>
      <c r="E309" s="12"/>
      <c r="F309" s="10" t="s">
        <v>213</v>
      </c>
      <c r="G309" s="30" t="s">
        <v>305</v>
      </c>
      <c r="H309" s="13" t="s">
        <v>22</v>
      </c>
      <c r="I309" s="13">
        <v>85</v>
      </c>
      <c r="J309" s="30"/>
      <c r="K309" s="30">
        <v>0</v>
      </c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  <c r="AA309" s="341"/>
      <c r="AB309" s="341"/>
      <c r="AC309" s="341"/>
      <c r="AD309" s="341"/>
      <c r="AE309" s="341"/>
      <c r="AF309" s="341"/>
    </row>
    <row r="310" spans="1:32" ht="15" customHeight="1">
      <c r="A310" s="5"/>
      <c r="B310" s="426" t="s">
        <v>727</v>
      </c>
      <c r="C310" s="7"/>
      <c r="D310" s="67" t="s">
        <v>728</v>
      </c>
      <c r="E310" s="12"/>
      <c r="F310" s="10" t="s">
        <v>213</v>
      </c>
      <c r="G310" s="30" t="s">
        <v>305</v>
      </c>
      <c r="H310" s="13" t="s">
        <v>22</v>
      </c>
      <c r="I310" s="13">
        <v>575</v>
      </c>
      <c r="J310" s="11"/>
      <c r="K310" s="30">
        <v>0</v>
      </c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  <c r="AA310" s="341"/>
      <c r="AB310" s="341"/>
      <c r="AC310" s="341"/>
      <c r="AD310" s="341"/>
      <c r="AE310" s="341"/>
      <c r="AF310" s="341"/>
    </row>
    <row r="311" spans="1:32" ht="15" customHeight="1">
      <c r="A311" s="5"/>
      <c r="B311" s="150" t="str">
        <f>HYPERLINK("http://www.amare-moscow.ru/catalog/file_ryby_/treska_file_b_k_s_m_10_kg_rossiya/","Треска БГ с/м 0,5-1 кг ")</f>
        <v xml:space="preserve">Треска БГ с/м 0,5-1 кг </v>
      </c>
      <c r="C311" s="7"/>
      <c r="D311" s="67" t="s">
        <v>406</v>
      </c>
      <c r="E311" s="12" t="s">
        <v>720</v>
      </c>
      <c r="F311" s="10" t="s">
        <v>213</v>
      </c>
      <c r="G311" s="30" t="s">
        <v>305</v>
      </c>
      <c r="H311" s="13" t="s">
        <v>22</v>
      </c>
      <c r="I311" s="13">
        <v>300</v>
      </c>
      <c r="J311" s="11"/>
      <c r="K311" s="30">
        <v>0</v>
      </c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  <c r="AA311" s="341"/>
      <c r="AB311" s="341"/>
      <c r="AC311" s="341"/>
      <c r="AD311" s="341"/>
      <c r="AE311" s="341"/>
      <c r="AF311" s="341"/>
    </row>
    <row r="312" spans="1:32" ht="15" customHeight="1">
      <c r="A312" s="5"/>
      <c r="B312" s="170" t="str">
        <f>HYPERLINK("http://amare-moscow.ru/catalog/5_ostalnaya_ryba/khek_pbg_s_m_0_1_0_2_kg_ind_zam_don_kreveton_blok_prolozhennyy_6_kg_4_peru/","Хек ПБГ с/м 0,1-0,2 кг инд зам блок пролож.")</f>
        <v>Хек ПБГ с/м 0,1-0,2 кг инд зам блок пролож.</v>
      </c>
      <c r="C312" s="7"/>
      <c r="D312" s="67" t="s">
        <v>729</v>
      </c>
      <c r="E312" s="12" t="s">
        <v>730</v>
      </c>
      <c r="F312" s="10" t="s">
        <v>213</v>
      </c>
      <c r="G312" s="11" t="s">
        <v>731</v>
      </c>
      <c r="H312" s="13" t="s">
        <v>22</v>
      </c>
      <c r="I312" s="13">
        <v>170</v>
      </c>
      <c r="J312" s="11"/>
      <c r="K312" s="30">
        <v>0</v>
      </c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  <c r="AA312" s="341"/>
      <c r="AB312" s="341"/>
      <c r="AC312" s="341"/>
      <c r="AD312" s="341"/>
      <c r="AE312" s="341"/>
      <c r="AF312" s="341"/>
    </row>
    <row r="313" spans="1:32" ht="15" customHeight="1">
      <c r="A313" s="5"/>
      <c r="B313" s="170" t="str">
        <f>HYPERLINK("http://amare-moscow.ru/catalog/5_ostalnaya_ryba/khek_pbg_s_m_0_2_0_3_kg_ind_zam_don_kreveton_1kh16_kg_peru/","Хек ПБГ с/м 0,2 - 0,3 кг инд зам")</f>
        <v>Хек ПБГ с/м 0,2 - 0,3 кг инд зам</v>
      </c>
      <c r="C313" s="7"/>
      <c r="D313" s="67" t="s">
        <v>732</v>
      </c>
      <c r="E313" s="12" t="s">
        <v>730</v>
      </c>
      <c r="F313" s="10" t="s">
        <v>213</v>
      </c>
      <c r="G313" s="11" t="s">
        <v>731</v>
      </c>
      <c r="H313" s="13" t="s">
        <v>22</v>
      </c>
      <c r="I313" s="13">
        <v>170</v>
      </c>
      <c r="J313" s="11"/>
      <c r="K313" s="11">
        <f t="shared" ref="K313:K316" si="38">I313*J313</f>
        <v>0</v>
      </c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  <c r="AA313" s="341"/>
      <c r="AB313" s="341"/>
      <c r="AC313" s="341"/>
      <c r="AD313" s="341"/>
      <c r="AE313" s="341"/>
      <c r="AF313" s="341"/>
    </row>
    <row r="314" spans="1:32" ht="15" customHeight="1">
      <c r="A314" s="5"/>
      <c r="B314" s="176" t="s">
        <v>733</v>
      </c>
      <c r="C314" s="7"/>
      <c r="D314" s="67" t="s">
        <v>522</v>
      </c>
      <c r="E314" s="12"/>
      <c r="F314" s="10" t="s">
        <v>213</v>
      </c>
      <c r="G314" s="11" t="s">
        <v>305</v>
      </c>
      <c r="H314" s="13" t="s">
        <v>22</v>
      </c>
      <c r="I314" s="138">
        <v>295</v>
      </c>
      <c r="J314" s="91"/>
      <c r="K314" s="11">
        <f t="shared" si="38"/>
        <v>0</v>
      </c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  <c r="AA314" s="341"/>
      <c r="AB314" s="341"/>
      <c r="AC314" s="341"/>
      <c r="AD314" s="341"/>
      <c r="AE314" s="341"/>
      <c r="AF314" s="341"/>
    </row>
    <row r="315" spans="1:32" ht="15" customHeight="1">
      <c r="A315" s="5"/>
      <c r="B315" s="176" t="s">
        <v>501</v>
      </c>
      <c r="C315" s="7"/>
      <c r="D315" s="67" t="s">
        <v>116</v>
      </c>
      <c r="E315" s="12"/>
      <c r="F315" s="10" t="s">
        <v>213</v>
      </c>
      <c r="G315" s="11" t="s">
        <v>305</v>
      </c>
      <c r="H315" s="13" t="s">
        <v>22</v>
      </c>
      <c r="I315" s="138">
        <v>375</v>
      </c>
      <c r="J315" s="91"/>
      <c r="K315" s="11">
        <f t="shared" si="38"/>
        <v>0</v>
      </c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  <c r="AA315" s="341"/>
      <c r="AB315" s="341"/>
      <c r="AC315" s="341"/>
      <c r="AD315" s="341"/>
      <c r="AE315" s="341"/>
      <c r="AF315" s="341"/>
    </row>
    <row r="316" spans="1:32" ht="15" customHeight="1">
      <c r="A316" s="5"/>
      <c r="B316" s="176" t="s">
        <v>734</v>
      </c>
      <c r="C316" s="7"/>
      <c r="D316" s="67" t="s">
        <v>460</v>
      </c>
      <c r="E316" s="12"/>
      <c r="F316" s="10" t="s">
        <v>213</v>
      </c>
      <c r="G316" s="11" t="s">
        <v>305</v>
      </c>
      <c r="H316" s="13" t="s">
        <v>22</v>
      </c>
      <c r="I316" s="138">
        <v>172</v>
      </c>
      <c r="J316" s="91"/>
      <c r="K316" s="11">
        <f t="shared" si="38"/>
        <v>0</v>
      </c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  <c r="AA316" s="341"/>
      <c r="AB316" s="341"/>
      <c r="AC316" s="341"/>
      <c r="AD316" s="341"/>
      <c r="AE316" s="341"/>
      <c r="AF316" s="341"/>
    </row>
    <row r="317" spans="1:32" ht="26.25" customHeight="1">
      <c r="A317" s="291"/>
      <c r="B317" s="292" t="str">
        <f>HYPERLINK("http://www.amare-moscow.ru/catalog/file_ryby_/","Филе рыбное")</f>
        <v>Филе рыбное</v>
      </c>
      <c r="C317" s="293"/>
      <c r="D317" s="23" t="s">
        <v>28</v>
      </c>
      <c r="E317" s="23" t="s">
        <v>29</v>
      </c>
      <c r="F317" s="24" t="s">
        <v>30</v>
      </c>
      <c r="G317" s="23" t="s">
        <v>31</v>
      </c>
      <c r="H317" s="25" t="s">
        <v>32</v>
      </c>
      <c r="I317" s="24" t="s">
        <v>33</v>
      </c>
      <c r="J317" s="24" t="s">
        <v>34</v>
      </c>
      <c r="K317" s="23" t="s">
        <v>35</v>
      </c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  <c r="AA317" s="341"/>
      <c r="AB317" s="341"/>
      <c r="AC317" s="341"/>
      <c r="AD317" s="341"/>
      <c r="AE317" s="341"/>
      <c r="AF317" s="341"/>
    </row>
    <row r="318" spans="1:32" ht="15" customHeight="1">
      <c r="A318" s="5"/>
      <c r="B318" s="150" t="str">
        <f>HYPERLINK("http://www.amare-moscow.ru/catalog/file_ryby_/gorbusha_file_n_k_s_m_10_kg_rossiya/","Горбуша филе н/к с/м  ")</f>
        <v xml:space="preserve">Горбуша филе н/к с/м  </v>
      </c>
      <c r="C318" s="27"/>
      <c r="D318" s="28" t="s">
        <v>406</v>
      </c>
      <c r="E318" s="12"/>
      <c r="F318" s="29" t="s">
        <v>39</v>
      </c>
      <c r="G318" s="30" t="s">
        <v>305</v>
      </c>
      <c r="H318" s="13" t="s">
        <v>22</v>
      </c>
      <c r="I318" s="13" t="s">
        <v>143</v>
      </c>
      <c r="J318" s="30"/>
      <c r="K318" s="30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  <c r="AA318" s="341"/>
      <c r="AB318" s="341"/>
      <c r="AC318" s="341"/>
      <c r="AD318" s="341"/>
      <c r="AE318" s="341"/>
      <c r="AF318" s="341"/>
    </row>
    <row r="319" spans="1:32" ht="15" customHeight="1">
      <c r="A319" s="5"/>
      <c r="B319" s="156" t="s">
        <v>735</v>
      </c>
      <c r="C319" s="27"/>
      <c r="D319" s="28" t="s">
        <v>509</v>
      </c>
      <c r="E319" s="12"/>
      <c r="F319" s="119" t="s">
        <v>71</v>
      </c>
      <c r="G319" s="427" t="s">
        <v>19</v>
      </c>
      <c r="H319" s="13"/>
      <c r="I319" s="217">
        <v>880</v>
      </c>
      <c r="J319" s="30"/>
      <c r="K319" s="30">
        <v>0</v>
      </c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  <c r="AA319" s="341"/>
      <c r="AB319" s="341"/>
      <c r="AC319" s="341"/>
      <c r="AD319" s="341"/>
      <c r="AE319" s="341"/>
      <c r="AF319" s="341"/>
    </row>
    <row r="320" spans="1:32" ht="15" customHeight="1">
      <c r="A320" s="5"/>
      <c r="B320" s="150" t="str">
        <f>HYPERLINK("http://www.amare-moscow.ru/catalog/file_ryby_/losos_file_trim_s_s_m_v_u_don_kreveton_ves_rossiya/","Лосось филе трим С с/м в/у")</f>
        <v>Лосось филе трим С с/м в/у</v>
      </c>
      <c r="C320" s="27"/>
      <c r="D320" s="28" t="s">
        <v>509</v>
      </c>
      <c r="E320" s="12" t="s">
        <v>510</v>
      </c>
      <c r="F320" s="29" t="s">
        <v>71</v>
      </c>
      <c r="G320" s="30" t="s">
        <v>19</v>
      </c>
      <c r="H320" s="13" t="s">
        <v>22</v>
      </c>
      <c r="I320" s="13">
        <v>990</v>
      </c>
      <c r="J320" s="30"/>
      <c r="K320" s="30">
        <v>0</v>
      </c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  <c r="AA320" s="341"/>
      <c r="AB320" s="341"/>
      <c r="AC320" s="341"/>
      <c r="AD320" s="341"/>
      <c r="AE320" s="341"/>
      <c r="AF320" s="341"/>
    </row>
    <row r="321" spans="1:32" ht="15" customHeight="1">
      <c r="A321" s="5"/>
      <c r="B321" s="150" t="str">
        <f>HYPERLINK("http://www.amare-moscow.ru/catalog/file_ryby_/losos_file_kusok_b_k_s_m_0_15_0_18_kg_don_kreveton_rossiya/","Лосось филе-кусок б/к с/м в/у 0,15-0,18 кг")</f>
        <v>Лосось филе-кусок б/к с/м в/у 0,15-0,18 кг</v>
      </c>
      <c r="C321" s="27"/>
      <c r="D321" s="28" t="s">
        <v>736</v>
      </c>
      <c r="E321" s="12" t="s">
        <v>270</v>
      </c>
      <c r="F321" s="29" t="s">
        <v>71</v>
      </c>
      <c r="G321" s="30" t="s">
        <v>19</v>
      </c>
      <c r="H321" s="13" t="s">
        <v>22</v>
      </c>
      <c r="I321" s="13" t="s">
        <v>737</v>
      </c>
      <c r="J321" s="30"/>
      <c r="K321" s="30">
        <v>0</v>
      </c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  <c r="AA321" s="341"/>
      <c r="AB321" s="341"/>
      <c r="AC321" s="341"/>
      <c r="AD321" s="341"/>
      <c r="AE321" s="341"/>
      <c r="AF321" s="341"/>
    </row>
    <row r="322" spans="1:32" ht="15" customHeight="1">
      <c r="A322" s="5"/>
      <c r="B322" s="150" t="str">
        <f>HYPERLINK("http://www.amare-moscow.ru/catalog/file_ryby_/mintay_file_b_k_s_m_v_u_ports_don_kreveton_0_650kg_8sht_rossiya/","Минтай филе б/к с/м   в/у")</f>
        <v>Минтай филе б/к с/м   в/у</v>
      </c>
      <c r="C322" s="27"/>
      <c r="D322" s="28" t="s">
        <v>128</v>
      </c>
      <c r="E322" s="12" t="s">
        <v>270</v>
      </c>
      <c r="F322" s="29" t="s">
        <v>39</v>
      </c>
      <c r="G322" s="30" t="s">
        <v>19</v>
      </c>
      <c r="H322" s="13" t="s">
        <v>22</v>
      </c>
      <c r="I322" s="13">
        <v>330</v>
      </c>
      <c r="J322" s="30"/>
      <c r="K322" s="30">
        <f t="shared" ref="K322:K323" si="39">I322*J322</f>
        <v>0</v>
      </c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  <c r="AA322" s="341"/>
      <c r="AB322" s="341"/>
      <c r="AC322" s="341"/>
      <c r="AD322" s="341"/>
      <c r="AE322" s="341"/>
      <c r="AF322" s="341"/>
    </row>
    <row r="323" spans="1:32" ht="15" customHeight="1">
      <c r="A323" s="5"/>
      <c r="B323" s="156" t="s">
        <v>738</v>
      </c>
      <c r="C323" s="27"/>
      <c r="D323" s="28" t="s">
        <v>739</v>
      </c>
      <c r="E323" s="12"/>
      <c r="F323" s="29"/>
      <c r="G323" s="30" t="s">
        <v>305</v>
      </c>
      <c r="H323" s="13"/>
      <c r="I323" s="13">
        <v>275</v>
      </c>
      <c r="J323" s="30"/>
      <c r="K323" s="30">
        <f t="shared" si="39"/>
        <v>0</v>
      </c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  <c r="AA323" s="341"/>
      <c r="AB323" s="341"/>
      <c r="AC323" s="341"/>
      <c r="AD323" s="341"/>
      <c r="AE323" s="341"/>
      <c r="AF323" s="341"/>
    </row>
    <row r="324" spans="1:32" ht="15" customHeight="1">
      <c r="A324" s="5"/>
      <c r="B324" s="150" t="str">
        <f>HYPERLINK("http://amare-moscow.ru/catalog/file_ryby_/mintay_file_s_m_blok_3_7_5_kg_rossiya/","Минтай филе б/к с/м")</f>
        <v>Минтай филе б/к с/м</v>
      </c>
      <c r="C324" s="27"/>
      <c r="D324" s="28" t="s">
        <v>740</v>
      </c>
      <c r="E324" s="12" t="s">
        <v>515</v>
      </c>
      <c r="F324" s="29" t="s">
        <v>39</v>
      </c>
      <c r="G324" s="30" t="s">
        <v>516</v>
      </c>
      <c r="H324" s="13" t="s">
        <v>22</v>
      </c>
      <c r="I324" s="13">
        <v>260</v>
      </c>
      <c r="J324" s="30"/>
      <c r="K324" s="30">
        <v>0</v>
      </c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  <c r="AA324" s="341"/>
      <c r="AB324" s="341"/>
      <c r="AC324" s="341"/>
      <c r="AD324" s="341"/>
      <c r="AE324" s="341"/>
      <c r="AF324" s="341"/>
    </row>
    <row r="325" spans="1:32" ht="15" customHeight="1">
      <c r="A325" s="5"/>
      <c r="B325" s="156" t="s">
        <v>741</v>
      </c>
      <c r="C325" s="27"/>
      <c r="D325" s="28" t="s">
        <v>740</v>
      </c>
      <c r="E325" s="12" t="s">
        <v>515</v>
      </c>
      <c r="F325" s="29" t="s">
        <v>39</v>
      </c>
      <c r="G325" s="30" t="s">
        <v>516</v>
      </c>
      <c r="H325" s="13"/>
      <c r="I325" s="13">
        <v>285</v>
      </c>
      <c r="J325" s="30"/>
      <c r="K325" s="30">
        <v>0</v>
      </c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  <c r="AA325" s="341"/>
      <c r="AB325" s="341"/>
      <c r="AC325" s="341"/>
      <c r="AD325" s="341"/>
      <c r="AE325" s="341"/>
      <c r="AF325" s="341"/>
    </row>
    <row r="326" spans="1:32" ht="15" customHeight="1">
      <c r="A326" s="5"/>
      <c r="B326" s="150" t="str">
        <f>HYPERLINK("http://www.amare-moscow.ru/catalog/file_ryby_/paltus_file_b_k_s_m_400_gr_don_kreveton_5_kg_rossiya/","Палтус филе б/к с/м 200/400 гр  ")</f>
        <v xml:space="preserve">Палтус филе б/к с/м 200/400 гр  </v>
      </c>
      <c r="C326" s="27"/>
      <c r="D326" s="28" t="s">
        <v>61</v>
      </c>
      <c r="E326" s="12"/>
      <c r="F326" s="29" t="s">
        <v>71</v>
      </c>
      <c r="G326" s="30" t="s">
        <v>19</v>
      </c>
      <c r="H326" s="13" t="s">
        <v>22</v>
      </c>
      <c r="I326" s="13" t="s">
        <v>143</v>
      </c>
      <c r="J326" s="30"/>
      <c r="K326" s="30">
        <v>0</v>
      </c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  <c r="AA326" s="341"/>
      <c r="AB326" s="341"/>
      <c r="AC326" s="341"/>
      <c r="AD326" s="341"/>
      <c r="AE326" s="341"/>
      <c r="AF326" s="341"/>
    </row>
    <row r="327" spans="1:32" ht="15" customHeight="1">
      <c r="A327" s="5"/>
      <c r="B327" s="150" t="str">
        <f>HYPERLINK("http://www.amare-moscow.ru/catalog/file_ryby_/paltus_file_b_k_s_m_400_gr_don_kreveton_5_kg_rossiya/","Палтус филе б/к с/м 400 гр + ")</f>
        <v xml:space="preserve">Палтус филе б/к с/м 400 гр + </v>
      </c>
      <c r="C327" s="27"/>
      <c r="D327" s="28" t="s">
        <v>61</v>
      </c>
      <c r="E327" s="12"/>
      <c r="F327" s="29" t="s">
        <v>71</v>
      </c>
      <c r="G327" s="30" t="s">
        <v>19</v>
      </c>
      <c r="H327" s="13" t="s">
        <v>22</v>
      </c>
      <c r="I327" s="13" t="s">
        <v>143</v>
      </c>
      <c r="J327" s="30"/>
      <c r="K327" s="30">
        <f>I322*J322</f>
        <v>0</v>
      </c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  <c r="AA327" s="341"/>
      <c r="AB327" s="341"/>
      <c r="AC327" s="341"/>
      <c r="AD327" s="341"/>
      <c r="AE327" s="341"/>
      <c r="AF327" s="341"/>
    </row>
    <row r="328" spans="1:32" ht="15" customHeight="1">
      <c r="A328" s="5"/>
      <c r="B328" s="150" t="str">
        <f>HYPERLINK("http://www.amare-moscow.ru/catalog/file_ryby_/paltus_file_kusok_b_k_s_m_0_140_0_150_kg_don_kreveton_rossiya/","Палтус филе-кусок б/к с/м 0,14-0,15 кг ")</f>
        <v xml:space="preserve">Палтус филе-кусок б/к с/м 0,14-0,15 кг </v>
      </c>
      <c r="C328" s="27"/>
      <c r="D328" s="28" t="s">
        <v>736</v>
      </c>
      <c r="E328" s="12" t="s">
        <v>270</v>
      </c>
      <c r="F328" s="29" t="s">
        <v>71</v>
      </c>
      <c r="G328" s="30" t="s">
        <v>19</v>
      </c>
      <c r="H328" s="13" t="s">
        <v>22</v>
      </c>
      <c r="I328" s="13" t="s">
        <v>143</v>
      </c>
      <c r="J328" s="30"/>
      <c r="K328" s="30">
        <v>0</v>
      </c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  <c r="AA328" s="341"/>
      <c r="AB328" s="341"/>
      <c r="AC328" s="341"/>
      <c r="AD328" s="341"/>
      <c r="AE328" s="341"/>
      <c r="AF328" s="341"/>
    </row>
    <row r="329" spans="1:32" ht="15" customHeight="1">
      <c r="A329" s="5"/>
      <c r="B329" s="150" t="str">
        <f>HYPERLINK("http://amare-moscow.ru/catalog/file_ryby_/seld_file_s_m_6_10_sht_v_kg_3_7_5_kg_rossiya/","Сельдь филе с/м 6/10 шт")</f>
        <v>Сельдь филе с/м 6/10 шт</v>
      </c>
      <c r="C329" s="27"/>
      <c r="D329" s="28" t="s">
        <v>514</v>
      </c>
      <c r="E329" s="12" t="s">
        <v>515</v>
      </c>
      <c r="F329" s="29" t="s">
        <v>39</v>
      </c>
      <c r="G329" s="30" t="s">
        <v>516</v>
      </c>
      <c r="H329" s="13" t="s">
        <v>22</v>
      </c>
      <c r="I329" s="13">
        <v>165</v>
      </c>
      <c r="J329" s="30"/>
      <c r="K329" s="30">
        <f t="shared" ref="K329:K343" si="40">I329*J329</f>
        <v>0</v>
      </c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  <c r="AA329" s="341"/>
      <c r="AB329" s="341"/>
      <c r="AC329" s="341"/>
      <c r="AD329" s="341"/>
      <c r="AE329" s="341"/>
      <c r="AF329" s="341"/>
    </row>
    <row r="330" spans="1:32" ht="15" customHeight="1">
      <c r="A330" s="5"/>
      <c r="B330" s="150" t="str">
        <f>HYPERLINK("http://amare-moscow.ru/catalog/file_ryby_/sudak_file_n_k_s_m_400_gr_10_kg_rossiya/","Судак филе н/к с/м 400 гр + ")</f>
        <v xml:space="preserve">Судак филе н/к с/м 400 гр + </v>
      </c>
      <c r="C330" s="27"/>
      <c r="D330" s="28" t="s">
        <v>116</v>
      </c>
      <c r="E330" s="12"/>
      <c r="F330" s="29" t="s">
        <v>39</v>
      </c>
      <c r="G330" s="30" t="s">
        <v>516</v>
      </c>
      <c r="H330" s="13" t="s">
        <v>22</v>
      </c>
      <c r="I330" s="13">
        <v>430</v>
      </c>
      <c r="J330" s="30"/>
      <c r="K330" s="30">
        <f t="shared" si="40"/>
        <v>0</v>
      </c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  <c r="AA330" s="341"/>
      <c r="AB330" s="341"/>
      <c r="AC330" s="341"/>
      <c r="AD330" s="341"/>
      <c r="AE330" s="341"/>
      <c r="AF330" s="341"/>
    </row>
    <row r="331" spans="1:32" ht="15" customHeight="1">
      <c r="A331" s="5"/>
      <c r="B331" s="150" t="str">
        <f>HYPERLINK("http://www.amare-moscow.ru/catalog/file_ryby_/tilapiya_file_b_k_s_m_0_14_0_2_kg_10_kg_kitay/","Тилапия  филе б/к с/м 0,14-0,2 кг  ")</f>
        <v xml:space="preserve">Тилапия  филе б/к с/м 0,14-0,2 кг  </v>
      </c>
      <c r="C331" s="27"/>
      <c r="D331" s="28" t="s">
        <v>116</v>
      </c>
      <c r="E331" s="12"/>
      <c r="F331" s="29" t="s">
        <v>18</v>
      </c>
      <c r="G331" s="30" t="s">
        <v>244</v>
      </c>
      <c r="H331" s="13" t="s">
        <v>22</v>
      </c>
      <c r="I331" s="13">
        <v>285</v>
      </c>
      <c r="J331" s="30"/>
      <c r="K331" s="30">
        <f t="shared" si="40"/>
        <v>0</v>
      </c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  <c r="AA331" s="341"/>
      <c r="AB331" s="341"/>
      <c r="AC331" s="341"/>
      <c r="AD331" s="341"/>
      <c r="AE331" s="341"/>
      <c r="AF331" s="341"/>
    </row>
    <row r="332" spans="1:32" ht="15" customHeight="1">
      <c r="A332" s="5"/>
      <c r="B332" s="156" t="s">
        <v>742</v>
      </c>
      <c r="C332" s="27"/>
      <c r="D332" s="28" t="s">
        <v>514</v>
      </c>
      <c r="E332" s="12" t="s">
        <v>515</v>
      </c>
      <c r="F332" s="29" t="s">
        <v>39</v>
      </c>
      <c r="G332" s="30" t="s">
        <v>743</v>
      </c>
      <c r="H332" s="13" t="s">
        <v>22</v>
      </c>
      <c r="I332" s="13">
        <v>305</v>
      </c>
      <c r="J332" s="30"/>
      <c r="K332" s="30">
        <f t="shared" si="40"/>
        <v>0</v>
      </c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  <c r="AA332" s="341"/>
      <c r="AB332" s="341"/>
      <c r="AC332" s="341"/>
      <c r="AD332" s="341"/>
      <c r="AE332" s="341"/>
      <c r="AF332" s="341"/>
    </row>
    <row r="333" spans="1:32" ht="15" customHeight="1">
      <c r="A333" s="5"/>
      <c r="B333" s="150" t="str">
        <f>HYPERLINK("http://www.amare-moscow.ru/catalog/file_ryby_/treska_file_b_k_s_m_10_kg_rossiya/","Треска филе б/к с/м проложка")</f>
        <v>Треска филе б/к с/м проложка</v>
      </c>
      <c r="C333" s="27"/>
      <c r="D333" s="30" t="s">
        <v>744</v>
      </c>
      <c r="E333" s="12"/>
      <c r="F333" s="29" t="s">
        <v>39</v>
      </c>
      <c r="G333" s="30" t="s">
        <v>743</v>
      </c>
      <c r="H333" s="13" t="s">
        <v>22</v>
      </c>
      <c r="I333" s="13">
        <v>560</v>
      </c>
      <c r="J333" s="30"/>
      <c r="K333" s="30">
        <f t="shared" si="40"/>
        <v>0</v>
      </c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</row>
    <row r="334" spans="1:32" ht="15" customHeight="1">
      <c r="A334" s="5"/>
      <c r="B334" s="156" t="s">
        <v>745</v>
      </c>
      <c r="C334" s="27"/>
      <c r="D334" s="148" t="s">
        <v>746</v>
      </c>
      <c r="E334" s="12"/>
      <c r="F334" s="29" t="s">
        <v>39</v>
      </c>
      <c r="G334" s="30" t="s">
        <v>743</v>
      </c>
      <c r="H334" s="13" t="s">
        <v>22</v>
      </c>
      <c r="I334" s="13">
        <v>580</v>
      </c>
      <c r="J334" s="30"/>
      <c r="K334" s="30">
        <f t="shared" si="40"/>
        <v>0</v>
      </c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  <c r="AA334" s="341"/>
      <c r="AB334" s="341"/>
      <c r="AC334" s="341"/>
      <c r="AD334" s="341"/>
      <c r="AE334" s="341"/>
      <c r="AF334" s="341"/>
    </row>
    <row r="335" spans="1:32" ht="15" customHeight="1">
      <c r="A335" s="5"/>
      <c r="B335" s="156" t="s">
        <v>747</v>
      </c>
      <c r="C335" s="27"/>
      <c r="D335" s="428" t="s">
        <v>492</v>
      </c>
      <c r="E335" s="12"/>
      <c r="F335" s="29" t="s">
        <v>39</v>
      </c>
      <c r="G335" s="30" t="s">
        <v>743</v>
      </c>
      <c r="H335" s="13" t="s">
        <v>22</v>
      </c>
      <c r="I335" s="13">
        <v>430</v>
      </c>
      <c r="J335" s="30"/>
      <c r="K335" s="30">
        <f t="shared" si="40"/>
        <v>0</v>
      </c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  <c r="AA335" s="341"/>
      <c r="AB335" s="341"/>
      <c r="AC335" s="341"/>
      <c r="AD335" s="341"/>
      <c r="AE335" s="341"/>
      <c r="AF335" s="341"/>
    </row>
    <row r="336" spans="1:32" ht="15" customHeight="1">
      <c r="A336" s="5"/>
      <c r="B336" s="150" t="str">
        <f>HYPERLINK("http://www.amare-moscow.ru/catalog/file_ryby_/treska_file_b_k_s_m_10_kg_rossiya/","Треска филе б/к с/м")</f>
        <v>Треска филе б/к с/м</v>
      </c>
      <c r="C336" s="27"/>
      <c r="D336" s="28" t="s">
        <v>116</v>
      </c>
      <c r="E336" s="12"/>
      <c r="F336" s="29" t="s">
        <v>39</v>
      </c>
      <c r="G336" s="30" t="s">
        <v>516</v>
      </c>
      <c r="H336" s="13" t="s">
        <v>22</v>
      </c>
      <c r="I336" s="13">
        <v>380</v>
      </c>
      <c r="J336" s="30"/>
      <c r="K336" s="30">
        <f t="shared" si="40"/>
        <v>0</v>
      </c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  <c r="AA336" s="341"/>
      <c r="AB336" s="341"/>
      <c r="AC336" s="341"/>
      <c r="AD336" s="341"/>
      <c r="AE336" s="341"/>
      <c r="AF336" s="341"/>
    </row>
    <row r="337" spans="1:32" ht="15" customHeight="1">
      <c r="A337" s="5"/>
      <c r="B337" s="150" t="str">
        <f>HYPERLINK("http://www.amare-moscow.ru/catalog/file_ryby_/treska_file_b_k_s_m_10_kg_rossiya/","Треска филе б/к с/м инд. зам.")</f>
        <v>Треска филе б/к с/м инд. зам.</v>
      </c>
      <c r="C337" s="27"/>
      <c r="D337" s="28" t="s">
        <v>406</v>
      </c>
      <c r="E337" s="12"/>
      <c r="F337" s="29" t="s">
        <v>39</v>
      </c>
      <c r="G337" s="30" t="s">
        <v>743</v>
      </c>
      <c r="H337" s="13" t="s">
        <v>22</v>
      </c>
      <c r="I337" s="13">
        <v>480</v>
      </c>
      <c r="J337" s="30"/>
      <c r="K337" s="30">
        <f t="shared" si="40"/>
        <v>0</v>
      </c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  <c r="AA337" s="341"/>
      <c r="AB337" s="341"/>
      <c r="AC337" s="341"/>
      <c r="AD337" s="341"/>
      <c r="AE337" s="341"/>
      <c r="AF337" s="341"/>
    </row>
    <row r="338" spans="1:32" ht="15" customHeight="1">
      <c r="A338" s="5"/>
      <c r="B338" s="150" t="str">
        <f>HYPERLINK("http://www.amare-moscow.ru/catalog/file_ryby_/treska_file_n_k_s_m_10_kg_rossiya/","Треска филе н/к с/м ")</f>
        <v xml:space="preserve">Треска филе н/к с/м </v>
      </c>
      <c r="C338" s="27"/>
      <c r="D338" s="28" t="s">
        <v>116</v>
      </c>
      <c r="E338" s="12"/>
      <c r="F338" s="29" t="s">
        <v>39</v>
      </c>
      <c r="G338" s="30" t="s">
        <v>516</v>
      </c>
      <c r="H338" s="13" t="s">
        <v>22</v>
      </c>
      <c r="I338" s="13">
        <v>360</v>
      </c>
      <c r="J338" s="30"/>
      <c r="K338" s="30">
        <f t="shared" si="40"/>
        <v>0</v>
      </c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  <c r="AA338" s="341"/>
      <c r="AB338" s="341"/>
      <c r="AC338" s="341"/>
      <c r="AD338" s="341"/>
      <c r="AE338" s="341"/>
      <c r="AF338" s="341"/>
    </row>
    <row r="339" spans="1:32" ht="15" customHeight="1">
      <c r="A339" s="5"/>
      <c r="B339" s="150" t="str">
        <f>HYPERLINK("http://www.amare-moscow.ru/catalog/file_ryby_/treska_file_n_k_s_m_10_kg_rossiya/","Треска филе н/к с/м инд. зам.")</f>
        <v>Треска филе н/к с/м инд. зам.</v>
      </c>
      <c r="C339" s="27"/>
      <c r="D339" s="28" t="s">
        <v>116</v>
      </c>
      <c r="E339" s="12"/>
      <c r="F339" s="29" t="s">
        <v>39</v>
      </c>
      <c r="G339" s="30" t="s">
        <v>743</v>
      </c>
      <c r="H339" s="13" t="s">
        <v>22</v>
      </c>
      <c r="I339" s="13">
        <v>460</v>
      </c>
      <c r="J339" s="30"/>
      <c r="K339" s="30">
        <f t="shared" si="40"/>
        <v>0</v>
      </c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  <c r="AA339" s="341"/>
      <c r="AB339" s="341"/>
      <c r="AC339" s="341"/>
      <c r="AD339" s="341"/>
      <c r="AE339" s="341"/>
      <c r="AF339" s="341"/>
    </row>
    <row r="340" spans="1:32" ht="15" customHeight="1">
      <c r="A340" s="5"/>
      <c r="B340" s="429" t="s">
        <v>748</v>
      </c>
      <c r="C340" s="27"/>
      <c r="D340" s="30" t="s">
        <v>128</v>
      </c>
      <c r="E340" s="12" t="s">
        <v>270</v>
      </c>
      <c r="F340" s="119" t="s">
        <v>39</v>
      </c>
      <c r="G340" s="30" t="s">
        <v>19</v>
      </c>
      <c r="H340" s="13" t="s">
        <v>22</v>
      </c>
      <c r="I340" s="13">
        <v>320</v>
      </c>
      <c r="J340" s="30"/>
      <c r="K340" s="30">
        <f t="shared" si="40"/>
        <v>0</v>
      </c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  <c r="AA340" s="341"/>
      <c r="AB340" s="341"/>
      <c r="AC340" s="341"/>
      <c r="AD340" s="341"/>
      <c r="AE340" s="341"/>
      <c r="AF340" s="341"/>
    </row>
    <row r="341" spans="1:32" ht="15" customHeight="1">
      <c r="A341" s="5"/>
      <c r="B341" s="429" t="s">
        <v>749</v>
      </c>
      <c r="C341" s="27"/>
      <c r="D341" s="28">
        <v>5.25</v>
      </c>
      <c r="E341" s="12"/>
      <c r="F341" s="119" t="s">
        <v>39</v>
      </c>
      <c r="G341" s="30" t="s">
        <v>516</v>
      </c>
      <c r="H341" s="13" t="s">
        <v>22</v>
      </c>
      <c r="I341" s="13">
        <v>452</v>
      </c>
      <c r="J341" s="30"/>
      <c r="K341" s="30">
        <f t="shared" si="40"/>
        <v>0</v>
      </c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  <c r="AA341" s="341"/>
      <c r="AB341" s="341"/>
      <c r="AC341" s="341"/>
      <c r="AD341" s="341"/>
      <c r="AE341" s="341"/>
      <c r="AF341" s="341"/>
    </row>
    <row r="342" spans="1:32" ht="15" customHeight="1">
      <c r="A342" s="5"/>
      <c r="B342" s="420" t="str">
        <f>HYPERLINK("http://amare-moscow.ru/catalog/file_ryby_/khek_file_b_k_s_m_tuba_don_kreveton_2_2_kg_9_peru/","Хек филе б/к с/м   туба   ")</f>
        <v xml:space="preserve">Хек филе б/к с/м   туба   </v>
      </c>
      <c r="C342" s="76"/>
      <c r="D342" s="77" t="s">
        <v>750</v>
      </c>
      <c r="E342" s="81" t="s">
        <v>730</v>
      </c>
      <c r="F342" s="79" t="s">
        <v>213</v>
      </c>
      <c r="G342" s="80" t="s">
        <v>751</v>
      </c>
      <c r="H342" s="82" t="s">
        <v>22</v>
      </c>
      <c r="I342" s="82">
        <v>260</v>
      </c>
      <c r="J342" s="80"/>
      <c r="K342" s="80">
        <f t="shared" si="40"/>
        <v>0</v>
      </c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  <c r="AA342" s="341"/>
      <c r="AB342" s="341"/>
      <c r="AC342" s="341"/>
      <c r="AD342" s="341"/>
      <c r="AE342" s="341"/>
      <c r="AF342" s="341"/>
    </row>
    <row r="343" spans="1:32" ht="15" customHeight="1">
      <c r="A343" s="5"/>
      <c r="B343" s="170" t="str">
        <f>HYPERLINK("http://amare-moscow.ru/catalog/file_ryby_/khek_file_b_k_s_m_40_120_gr_ind_zam_don_kreveton_blok_prolozhennyy_7_kg_4_peru/","Хек филе б/к с/м 40-120 гр инд зам блок проложенный ")</f>
        <v xml:space="preserve">Хек филе б/к с/м 40-120 гр инд зам блок проложенный </v>
      </c>
      <c r="C343" s="7"/>
      <c r="D343" s="67" t="s">
        <v>752</v>
      </c>
      <c r="E343" s="12" t="s">
        <v>730</v>
      </c>
      <c r="F343" s="10" t="s">
        <v>213</v>
      </c>
      <c r="G343" s="11" t="s">
        <v>731</v>
      </c>
      <c r="H343" s="13" t="s">
        <v>22</v>
      </c>
      <c r="I343" s="13">
        <v>285</v>
      </c>
      <c r="J343" s="11"/>
      <c r="K343" s="11">
        <f t="shared" si="40"/>
        <v>0</v>
      </c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  <c r="AA343" s="341"/>
      <c r="AB343" s="341"/>
      <c r="AC343" s="341"/>
      <c r="AD343" s="341"/>
      <c r="AE343" s="341"/>
      <c r="AF343" s="341"/>
    </row>
    <row r="344" spans="1:32" ht="27.75" customHeight="1">
      <c r="A344" s="5"/>
      <c r="B344" s="163" t="str">
        <f>HYPERLINK("http://www.amare-moscow.ru/catalog/ryba_i_ryboproduktsiya/shchuka_file_b_k_s_m_3_10_kg_rossiya/","Щука филе б/к с/м")</f>
        <v>Щука филе б/к с/м</v>
      </c>
      <c r="C344" s="56"/>
      <c r="D344" s="57" t="s">
        <v>406</v>
      </c>
      <c r="E344" s="430" t="s">
        <v>503</v>
      </c>
      <c r="F344" s="59" t="s">
        <v>39</v>
      </c>
      <c r="G344" s="60" t="s">
        <v>19</v>
      </c>
      <c r="H344" s="136" t="s">
        <v>22</v>
      </c>
      <c r="I344" s="136">
        <v>370</v>
      </c>
      <c r="J344" s="60"/>
      <c r="K344" s="60">
        <v>0</v>
      </c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  <c r="AA344" s="341"/>
      <c r="AB344" s="341"/>
      <c r="AC344" s="341"/>
      <c r="AD344" s="341"/>
      <c r="AE344" s="341"/>
      <c r="AF344" s="341"/>
    </row>
    <row r="345" spans="1:32" ht="26.25" customHeight="1">
      <c r="A345" s="20"/>
      <c r="B345" s="218" t="s">
        <v>523</v>
      </c>
      <c r="C345" s="22"/>
      <c r="D345" s="23" t="s">
        <v>28</v>
      </c>
      <c r="E345" s="23" t="s">
        <v>29</v>
      </c>
      <c r="F345" s="24" t="s">
        <v>30</v>
      </c>
      <c r="G345" s="23" t="s">
        <v>31</v>
      </c>
      <c r="H345" s="25" t="s">
        <v>32</v>
      </c>
      <c r="I345" s="24" t="s">
        <v>33</v>
      </c>
      <c r="J345" s="24" t="s">
        <v>34</v>
      </c>
      <c r="K345" s="322" t="s">
        <v>35</v>
      </c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  <c r="AA345" s="341"/>
      <c r="AB345" s="341"/>
      <c r="AC345" s="341"/>
      <c r="AD345" s="341"/>
      <c r="AE345" s="341"/>
      <c r="AF345" s="341"/>
    </row>
    <row r="346" spans="1:32" ht="15" customHeight="1">
      <c r="A346" s="5"/>
      <c r="B346" s="323" t="s">
        <v>753</v>
      </c>
      <c r="C346" s="27"/>
      <c r="D346" s="30" t="s">
        <v>525</v>
      </c>
      <c r="E346" s="12"/>
      <c r="F346" s="29" t="s">
        <v>526</v>
      </c>
      <c r="G346" s="30" t="s">
        <v>19</v>
      </c>
      <c r="H346" s="13" t="s">
        <v>22</v>
      </c>
      <c r="I346" s="138">
        <v>500</v>
      </c>
      <c r="J346" s="169"/>
      <c r="K346" s="30">
        <f t="shared" ref="K346:K347" si="41">I346*J346</f>
        <v>0</v>
      </c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  <c r="AA346" s="341"/>
      <c r="AB346" s="341"/>
      <c r="AC346" s="341"/>
      <c r="AD346" s="341"/>
      <c r="AE346" s="341"/>
      <c r="AF346" s="341"/>
    </row>
    <row r="347" spans="1:32" ht="15" customHeight="1">
      <c r="A347" s="5"/>
      <c r="B347" s="431" t="s">
        <v>529</v>
      </c>
      <c r="C347" s="27"/>
      <c r="D347" s="30" t="s">
        <v>525</v>
      </c>
      <c r="E347" s="12"/>
      <c r="F347" s="29" t="s">
        <v>526</v>
      </c>
      <c r="G347" s="30" t="s">
        <v>19</v>
      </c>
      <c r="H347" s="13" t="s">
        <v>22</v>
      </c>
      <c r="I347" s="138">
        <v>880</v>
      </c>
      <c r="J347" s="169"/>
      <c r="K347" s="30">
        <f t="shared" si="41"/>
        <v>0</v>
      </c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  <c r="AA347" s="341"/>
      <c r="AB347" s="341"/>
      <c r="AC347" s="341"/>
      <c r="AD347" s="341"/>
      <c r="AE347" s="341"/>
      <c r="AF347" s="341"/>
    </row>
    <row r="348" spans="1:32" ht="15" customHeight="1">
      <c r="A348" s="5"/>
      <c r="B348" s="150" t="str">
        <f>HYPERLINK("http://www.amare-moscow.ru/catalog/steyki_ryby/losos_steyk_s_m_v_u_don_kreveton_0_7kg_8_sht_rossiya/","Лосось стейк с/м   в/у")</f>
        <v>Лосось стейк с/м   в/у</v>
      </c>
      <c r="C348" s="27"/>
      <c r="D348" s="30" t="s">
        <v>525</v>
      </c>
      <c r="E348" s="12"/>
      <c r="F348" s="29" t="s">
        <v>526</v>
      </c>
      <c r="G348" s="30" t="s">
        <v>19</v>
      </c>
      <c r="H348" s="13" t="s">
        <v>22</v>
      </c>
      <c r="I348" s="13">
        <v>1050</v>
      </c>
      <c r="J348" s="30"/>
      <c r="K348" s="30">
        <v>0</v>
      </c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  <c r="AA348" s="341"/>
      <c r="AB348" s="341"/>
      <c r="AC348" s="341"/>
      <c r="AD348" s="341"/>
      <c r="AE348" s="341"/>
      <c r="AF348" s="341"/>
    </row>
    <row r="349" spans="1:32" ht="15" customHeight="1">
      <c r="A349" s="5"/>
      <c r="B349" s="150" t="str">
        <f>HYPERLINK("http://www.amare-moscow.ru/catalog/steyki_ryby/nerka_steyk_s_m_v_u_don_kreveton_0_7kg_8_sht_rossiya/","Нерка стейк с/м в/у")</f>
        <v>Нерка стейк с/м в/у</v>
      </c>
      <c r="C349" s="27"/>
      <c r="D349" s="30" t="s">
        <v>525</v>
      </c>
      <c r="E349" s="12"/>
      <c r="F349" s="29" t="s">
        <v>526</v>
      </c>
      <c r="G349" s="30" t="s">
        <v>19</v>
      </c>
      <c r="H349" s="13" t="s">
        <v>22</v>
      </c>
      <c r="I349" s="13">
        <v>690</v>
      </c>
      <c r="J349" s="30"/>
      <c r="K349" s="30">
        <f t="shared" ref="K349:K354" si="42">I349*J349</f>
        <v>0</v>
      </c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  <c r="AA349" s="341"/>
      <c r="AB349" s="341"/>
      <c r="AC349" s="341"/>
      <c r="AD349" s="341"/>
      <c r="AE349" s="341"/>
      <c r="AF349" s="341"/>
    </row>
    <row r="350" spans="1:32" ht="15" customHeight="1">
      <c r="A350" s="5"/>
      <c r="B350" s="156" t="s">
        <v>530</v>
      </c>
      <c r="C350" s="27"/>
      <c r="D350" s="276" t="s">
        <v>531</v>
      </c>
      <c r="E350" s="12"/>
      <c r="F350" s="29" t="s">
        <v>526</v>
      </c>
      <c r="G350" s="30" t="s">
        <v>19</v>
      </c>
      <c r="H350" s="13" t="s">
        <v>22</v>
      </c>
      <c r="I350" s="13">
        <v>820</v>
      </c>
      <c r="J350" s="169"/>
      <c r="K350" s="30">
        <f t="shared" si="42"/>
        <v>0</v>
      </c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  <c r="AA350" s="341"/>
      <c r="AB350" s="341"/>
      <c r="AC350" s="341"/>
      <c r="AD350" s="341"/>
      <c r="AE350" s="341"/>
      <c r="AF350" s="341"/>
    </row>
    <row r="351" spans="1:32" ht="15" customHeight="1">
      <c r="A351" s="5"/>
      <c r="B351" s="156" t="s">
        <v>534</v>
      </c>
      <c r="C351" s="27"/>
      <c r="D351" s="277" t="s">
        <v>535</v>
      </c>
      <c r="E351" s="12"/>
      <c r="F351" s="29" t="s">
        <v>526</v>
      </c>
      <c r="G351" s="30" t="s">
        <v>19</v>
      </c>
      <c r="H351" s="13" t="s">
        <v>22</v>
      </c>
      <c r="I351" s="324">
        <v>320</v>
      </c>
      <c r="J351" s="169"/>
      <c r="K351" s="30">
        <f t="shared" si="42"/>
        <v>0</v>
      </c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  <c r="AA351" s="341"/>
      <c r="AB351" s="341"/>
      <c r="AC351" s="341"/>
      <c r="AD351" s="341"/>
      <c r="AE351" s="341"/>
      <c r="AF351" s="341"/>
    </row>
    <row r="352" spans="1:32" ht="15" customHeight="1">
      <c r="A352" s="5"/>
      <c r="B352" s="156" t="s">
        <v>754</v>
      </c>
      <c r="C352" s="27"/>
      <c r="D352" s="30" t="s">
        <v>531</v>
      </c>
      <c r="E352" s="12"/>
      <c r="F352" s="29" t="s">
        <v>526</v>
      </c>
      <c r="G352" s="325" t="s">
        <v>19</v>
      </c>
      <c r="H352" s="432" t="s">
        <v>22</v>
      </c>
      <c r="I352" s="324">
        <v>910</v>
      </c>
      <c r="J352" s="169"/>
      <c r="K352" s="30">
        <f t="shared" si="42"/>
        <v>0</v>
      </c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  <c r="AA352" s="341"/>
      <c r="AB352" s="341"/>
      <c r="AC352" s="341"/>
      <c r="AD352" s="341"/>
      <c r="AE352" s="341"/>
      <c r="AF352" s="341"/>
    </row>
    <row r="353" spans="1:32" ht="15" customHeight="1">
      <c r="A353" s="5"/>
      <c r="B353" s="156" t="s">
        <v>755</v>
      </c>
      <c r="C353" s="27"/>
      <c r="D353" s="276" t="s">
        <v>531</v>
      </c>
      <c r="E353" s="12"/>
      <c r="F353" s="29" t="s">
        <v>526</v>
      </c>
      <c r="G353" s="30" t="s">
        <v>19</v>
      </c>
      <c r="H353" s="13" t="s">
        <v>22</v>
      </c>
      <c r="I353" s="13">
        <v>1100</v>
      </c>
      <c r="J353" s="169"/>
      <c r="K353" s="30">
        <f t="shared" si="42"/>
        <v>0</v>
      </c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  <c r="AA353" s="341"/>
      <c r="AB353" s="341"/>
      <c r="AC353" s="341"/>
      <c r="AD353" s="341"/>
      <c r="AE353" s="341"/>
      <c r="AF353" s="341"/>
    </row>
    <row r="354" spans="1:32" ht="15" customHeight="1">
      <c r="A354" s="268" t="s">
        <v>756</v>
      </c>
      <c r="B354" s="156" t="s">
        <v>757</v>
      </c>
      <c r="C354" s="27"/>
      <c r="D354" s="30" t="s">
        <v>758</v>
      </c>
      <c r="E354" s="12"/>
      <c r="F354" s="29" t="s">
        <v>526</v>
      </c>
      <c r="G354" s="30" t="s">
        <v>19</v>
      </c>
      <c r="H354" s="13" t="s">
        <v>22</v>
      </c>
      <c r="I354" s="13">
        <v>460</v>
      </c>
      <c r="J354" s="169"/>
      <c r="K354" s="30">
        <f t="shared" si="42"/>
        <v>0</v>
      </c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  <c r="AA354" s="341"/>
      <c r="AB354" s="341"/>
      <c r="AC354" s="341"/>
      <c r="AD354" s="341"/>
      <c r="AE354" s="341"/>
      <c r="AF354" s="341"/>
    </row>
    <row r="355" spans="1:32" ht="45">
      <c r="A355" s="20"/>
      <c r="B355" s="200" t="str">
        <f>HYPERLINK("http://www.amare-moscow.ru/catalog/supovye_nabory_rybnye/","Суповые наборы рыбные")</f>
        <v>Суповые наборы рыбные</v>
      </c>
      <c r="C355" s="22"/>
      <c r="D355" s="23" t="s">
        <v>28</v>
      </c>
      <c r="E355" s="23" t="s">
        <v>29</v>
      </c>
      <c r="F355" s="24" t="s">
        <v>30</v>
      </c>
      <c r="G355" s="23" t="s">
        <v>31</v>
      </c>
      <c r="H355" s="25" t="s">
        <v>32</v>
      </c>
      <c r="I355" s="24" t="s">
        <v>33</v>
      </c>
      <c r="J355" s="24" t="s">
        <v>34</v>
      </c>
      <c r="K355" s="23" t="s">
        <v>35</v>
      </c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  <c r="AA355" s="341"/>
      <c r="AB355" s="341"/>
      <c r="AC355" s="341"/>
      <c r="AD355" s="341"/>
      <c r="AE355" s="341"/>
      <c r="AF355" s="341"/>
    </row>
    <row r="356" spans="1:32" ht="15" customHeight="1">
      <c r="A356" s="5"/>
      <c r="B356" s="150" t="s">
        <v>759</v>
      </c>
      <c r="C356" s="27"/>
      <c r="D356" s="30" t="s">
        <v>538</v>
      </c>
      <c r="E356" s="12" t="s">
        <v>539</v>
      </c>
      <c r="F356" s="29" t="s">
        <v>299</v>
      </c>
      <c r="G356" s="30" t="s">
        <v>19</v>
      </c>
      <c r="H356" s="13" t="s">
        <v>22</v>
      </c>
      <c r="I356" s="138">
        <v>380</v>
      </c>
      <c r="J356" s="169"/>
      <c r="K356" s="30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  <c r="AA356" s="341"/>
      <c r="AB356" s="341"/>
      <c r="AC356" s="341"/>
      <c r="AD356" s="341"/>
      <c r="AE356" s="341"/>
      <c r="AF356" s="341"/>
    </row>
    <row r="357" spans="1:32" ht="15" customHeight="1">
      <c r="A357" s="5"/>
      <c r="B357" s="156" t="s">
        <v>540</v>
      </c>
      <c r="C357" s="27"/>
      <c r="D357" s="28" t="s">
        <v>116</v>
      </c>
      <c r="E357" s="12" t="s">
        <v>539</v>
      </c>
      <c r="F357" s="29" t="s">
        <v>299</v>
      </c>
      <c r="G357" s="30" t="s">
        <v>19</v>
      </c>
      <c r="H357" s="13" t="s">
        <v>22</v>
      </c>
      <c r="I357" s="138" t="s">
        <v>143</v>
      </c>
      <c r="J357" s="169"/>
      <c r="K357" s="30">
        <v>0</v>
      </c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  <c r="AA357" s="341"/>
      <c r="AB357" s="341"/>
      <c r="AC357" s="341"/>
      <c r="AD357" s="341"/>
      <c r="AE357" s="341"/>
      <c r="AF357" s="341"/>
    </row>
    <row r="358" spans="1:32" ht="15" customHeight="1">
      <c r="A358" s="5"/>
      <c r="B358" s="150" t="str">
        <f>HYPERLINK("http://www.amare-moscow.ru/catalog/supovye_nabory_rybnye/losos_supovoy_nabor_s_m_v_u_don_kreveton_1kg_10sht_rossiya/","Лосось суповой набор с/м   в/у")</f>
        <v>Лосось суповой набор с/м   в/у</v>
      </c>
      <c r="C358" s="27"/>
      <c r="D358" s="28" t="s">
        <v>339</v>
      </c>
      <c r="E358" s="12" t="s">
        <v>539</v>
      </c>
      <c r="F358" s="29" t="s">
        <v>299</v>
      </c>
      <c r="G358" s="30" t="s">
        <v>19</v>
      </c>
      <c r="H358" s="13" t="s">
        <v>22</v>
      </c>
      <c r="I358" s="13" t="s">
        <v>143</v>
      </c>
      <c r="J358" s="30"/>
      <c r="K358" s="30">
        <v>0</v>
      </c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  <c r="AA358" s="341"/>
      <c r="AB358" s="341"/>
      <c r="AC358" s="341"/>
      <c r="AD358" s="341"/>
      <c r="AE358" s="341"/>
      <c r="AF358" s="341"/>
    </row>
    <row r="359" spans="1:32" ht="15" customHeight="1">
      <c r="A359" s="5"/>
      <c r="B359" s="150" t="str">
        <f>HYPERLINK("http://www.amare-moscow.ru/catalog/supovye_nabory_rybnye/losos_supovoy_nabor_s_m_v_u_premium_don_kreveton_ves_rossiya/","Лосось суповой набор с/м   в/у Премиум")</f>
        <v>Лосось суповой набор с/м   в/у Премиум</v>
      </c>
      <c r="C359" s="27"/>
      <c r="D359" s="28" t="s">
        <v>339</v>
      </c>
      <c r="E359" s="12" t="s">
        <v>539</v>
      </c>
      <c r="F359" s="29" t="s">
        <v>299</v>
      </c>
      <c r="G359" s="30" t="s">
        <v>19</v>
      </c>
      <c r="H359" s="13" t="s">
        <v>22</v>
      </c>
      <c r="I359" s="13" t="s">
        <v>143</v>
      </c>
      <c r="J359" s="30"/>
      <c r="K359" s="30">
        <v>0</v>
      </c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  <c r="AA359" s="341"/>
      <c r="AB359" s="341"/>
      <c r="AC359" s="341"/>
      <c r="AD359" s="341"/>
      <c r="AE359" s="341"/>
      <c r="AF359" s="341"/>
    </row>
    <row r="360" spans="1:32" ht="27" customHeight="1">
      <c r="A360" s="20"/>
      <c r="B360" s="200" t="str">
        <f>HYPERLINK("http://www.amare-moscow.ru/catalog/farsh_rybnyy/","Фарш рыбный")</f>
        <v>Фарш рыбный</v>
      </c>
      <c r="C360" s="22"/>
      <c r="D360" s="23" t="s">
        <v>28</v>
      </c>
      <c r="E360" s="23" t="s">
        <v>29</v>
      </c>
      <c r="F360" s="24" t="s">
        <v>30</v>
      </c>
      <c r="G360" s="23" t="s">
        <v>31</v>
      </c>
      <c r="H360" s="25" t="s">
        <v>32</v>
      </c>
      <c r="I360" s="24" t="s">
        <v>33</v>
      </c>
      <c r="J360" s="24" t="s">
        <v>34</v>
      </c>
      <c r="K360" s="23" t="s">
        <v>35</v>
      </c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  <c r="AA360" s="341"/>
      <c r="AB360" s="341"/>
      <c r="AC360" s="341"/>
      <c r="AD360" s="341"/>
      <c r="AE360" s="341"/>
      <c r="AF360" s="341"/>
    </row>
    <row r="361" spans="1:32" ht="15" customHeight="1">
      <c r="A361" s="5"/>
      <c r="B361" s="156" t="s">
        <v>760</v>
      </c>
      <c r="C361" s="27"/>
      <c r="D361" s="28" t="s">
        <v>658</v>
      </c>
      <c r="E361" s="12"/>
      <c r="F361" s="29" t="s">
        <v>299</v>
      </c>
      <c r="G361" s="30" t="s">
        <v>19</v>
      </c>
      <c r="H361" s="13" t="s">
        <v>22</v>
      </c>
      <c r="I361" s="138">
        <v>150</v>
      </c>
      <c r="J361" s="169"/>
      <c r="K361" s="30">
        <f t="shared" ref="K361:K365" si="43">I361*J361</f>
        <v>0</v>
      </c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  <c r="AA361" s="341"/>
      <c r="AB361" s="341"/>
      <c r="AC361" s="341"/>
      <c r="AD361" s="341"/>
      <c r="AE361" s="341"/>
      <c r="AF361" s="341"/>
    </row>
    <row r="362" spans="1:32" ht="15" customHeight="1">
      <c r="A362" s="5"/>
      <c r="B362" s="150" t="str">
        <f>HYPERLINK("http://www.amare-moscow.ru/catalog/farsh_rybnyy/losos_farsh_s_m_v_u_don_kreveton_0_5_kg_rossiya/","Лосось фарш с/м в/у ")</f>
        <v xml:space="preserve">Лосось фарш с/м в/у </v>
      </c>
      <c r="C362" s="27"/>
      <c r="D362" s="28" t="s">
        <v>542</v>
      </c>
      <c r="E362" s="12"/>
      <c r="F362" s="29" t="s">
        <v>299</v>
      </c>
      <c r="G362" s="30" t="s">
        <v>19</v>
      </c>
      <c r="H362" s="13" t="s">
        <v>22</v>
      </c>
      <c r="I362" s="13">
        <v>245</v>
      </c>
      <c r="J362" s="30"/>
      <c r="K362" s="30">
        <f t="shared" si="43"/>
        <v>0</v>
      </c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  <c r="AA362" s="341"/>
      <c r="AB362" s="341"/>
      <c r="AC362" s="341"/>
      <c r="AD362" s="341"/>
      <c r="AE362" s="341"/>
      <c r="AF362" s="341"/>
    </row>
    <row r="363" spans="1:32" ht="15" customHeight="1">
      <c r="A363" s="5"/>
      <c r="B363" s="170" t="str">
        <f>HYPERLINK("http://amare-moscow.ru/catalog/farsh_rybnyy/khek_farsh_s_m_v_u_don_kreveton_0_5_kg_10_sht_rossiya/","Хек фарш с/м в/у")</f>
        <v>Хек фарш с/м в/у</v>
      </c>
      <c r="C363" s="7"/>
      <c r="D363" s="67" t="s">
        <v>542</v>
      </c>
      <c r="E363" s="10"/>
      <c r="F363" s="10" t="s">
        <v>299</v>
      </c>
      <c r="G363" s="11" t="s">
        <v>19</v>
      </c>
      <c r="H363" s="13" t="s">
        <v>22</v>
      </c>
      <c r="I363" s="13">
        <v>250</v>
      </c>
      <c r="J363" s="11"/>
      <c r="K363" s="11">
        <f t="shared" si="43"/>
        <v>0</v>
      </c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  <c r="AA363" s="341"/>
      <c r="AB363" s="341"/>
      <c r="AC363" s="341"/>
      <c r="AD363" s="341"/>
      <c r="AE363" s="341"/>
      <c r="AF363" s="341"/>
    </row>
    <row r="364" spans="1:32" ht="15" customHeight="1">
      <c r="A364" s="5"/>
      <c r="B364" s="150" t="str">
        <f>HYPERLINK("http://www.amare-moscow.ru/catalog/farsh_rybnyy/treska_farsh_s_m_v_u_don_kreveton_0_5kg_10sht_rossiya/","Треска фарш с/м ")</f>
        <v xml:space="preserve">Треска фарш с/м </v>
      </c>
      <c r="C364" s="27"/>
      <c r="D364" s="28" t="s">
        <v>761</v>
      </c>
      <c r="E364" s="10"/>
      <c r="F364" s="29" t="s">
        <v>238</v>
      </c>
      <c r="G364" s="30" t="s">
        <v>305</v>
      </c>
      <c r="H364" s="13" t="s">
        <v>22</v>
      </c>
      <c r="I364" s="13">
        <v>170</v>
      </c>
      <c r="J364" s="30"/>
      <c r="K364" s="11">
        <f t="shared" si="43"/>
        <v>0</v>
      </c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  <c r="AA364" s="341"/>
      <c r="AB364" s="341"/>
      <c r="AC364" s="341"/>
      <c r="AD364" s="341"/>
      <c r="AE364" s="341"/>
      <c r="AF364" s="341"/>
    </row>
    <row r="365" spans="1:32" ht="15" customHeight="1">
      <c r="A365" s="5"/>
      <c r="B365" s="150" t="str">
        <f>HYPERLINK("http://www.amare-moscow.ru/catalog/farsh_rybnyy/treska_farsh_s_m_v_u_don_kreveton_0_5kg_10sht_rossiya/","Треска фарш с/м в/у")</f>
        <v>Треска фарш с/м в/у</v>
      </c>
      <c r="C365" s="27"/>
      <c r="D365" s="28" t="s">
        <v>542</v>
      </c>
      <c r="E365" s="12"/>
      <c r="F365" s="29" t="s">
        <v>299</v>
      </c>
      <c r="G365" s="30" t="s">
        <v>19</v>
      </c>
      <c r="H365" s="13" t="s">
        <v>22</v>
      </c>
      <c r="I365" s="13">
        <v>220</v>
      </c>
      <c r="J365" s="30"/>
      <c r="K365" s="30">
        <f t="shared" si="43"/>
        <v>0</v>
      </c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  <c r="AA365" s="341"/>
      <c r="AB365" s="341"/>
      <c r="AC365" s="341"/>
      <c r="AD365" s="341"/>
      <c r="AE365" s="341"/>
      <c r="AF365" s="341"/>
    </row>
    <row r="366" spans="1:32">
      <c r="A366" s="458" t="str">
        <f>HYPERLINK("http://amare-moscow.ru/catalog/ulitki/","Улитки")</f>
        <v>Улитки</v>
      </c>
      <c r="B366" s="457"/>
      <c r="C366" s="457"/>
      <c r="D366" s="457"/>
      <c r="E366" s="457"/>
      <c r="F366" s="457"/>
      <c r="G366" s="457"/>
      <c r="H366" s="457"/>
      <c r="I366" s="457"/>
      <c r="J366" s="457"/>
      <c r="K366" s="459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  <c r="AA366" s="341"/>
      <c r="AB366" s="341"/>
      <c r="AC366" s="341"/>
      <c r="AD366" s="341"/>
      <c r="AE366" s="341"/>
      <c r="AF366" s="341"/>
    </row>
    <row r="367" spans="1:32" ht="25.5" customHeight="1">
      <c r="A367" s="20"/>
      <c r="B367" s="200" t="str">
        <f>HYPERLINK("http://www.amare-moscow.ru/catalog/ulitki/","Улитки")</f>
        <v>Улитки</v>
      </c>
      <c r="C367" s="22"/>
      <c r="D367" s="23" t="s">
        <v>28</v>
      </c>
      <c r="E367" s="23" t="s">
        <v>29</v>
      </c>
      <c r="F367" s="24" t="s">
        <v>30</v>
      </c>
      <c r="G367" s="23" t="s">
        <v>31</v>
      </c>
      <c r="H367" s="25" t="s">
        <v>32</v>
      </c>
      <c r="I367" s="24" t="s">
        <v>33</v>
      </c>
      <c r="J367" s="24" t="s">
        <v>34</v>
      </c>
      <c r="K367" s="23" t="s">
        <v>35</v>
      </c>
      <c r="L367" s="433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  <c r="AA367" s="341"/>
      <c r="AB367" s="341"/>
      <c r="AC367" s="341"/>
      <c r="AD367" s="341"/>
      <c r="AE367" s="341"/>
      <c r="AF367" s="341"/>
    </row>
    <row r="368" spans="1:32" ht="15" customHeight="1">
      <c r="A368" s="5"/>
      <c r="B368" s="156" t="s">
        <v>543</v>
      </c>
      <c r="C368" s="27"/>
      <c r="D368" s="28" t="s">
        <v>544</v>
      </c>
      <c r="E368" s="12" t="s">
        <v>545</v>
      </c>
      <c r="F368" s="29" t="s">
        <v>39</v>
      </c>
      <c r="G368" s="30" t="s">
        <v>516</v>
      </c>
      <c r="H368" s="138" t="s">
        <v>20</v>
      </c>
      <c r="I368" s="138">
        <v>1150</v>
      </c>
      <c r="J368" s="169"/>
      <c r="K368" s="30">
        <f t="shared" ref="K368:K373" si="44">I368*J368</f>
        <v>0</v>
      </c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  <c r="AA368" s="341"/>
      <c r="AB368" s="341"/>
      <c r="AC368" s="341"/>
      <c r="AD368" s="341"/>
      <c r="AE368" s="341"/>
      <c r="AF368" s="341"/>
    </row>
    <row r="369" spans="1:32" ht="15" customHeight="1">
      <c r="A369" s="5"/>
      <c r="B369" s="150" t="str">
        <f>HYPERLINK("http://www.amare-moscow.ru/catalog/ulitki/ulitki_v_belom_souse_v_m_0_170kg_8sht_rossiya/","Улитки в белом соусе  в/м   ")</f>
        <v xml:space="preserve">Улитки в белом соусе  в/м   </v>
      </c>
      <c r="C369" s="27"/>
      <c r="D369" s="28" t="s">
        <v>547</v>
      </c>
      <c r="E369" s="12"/>
      <c r="F369" s="29" t="s">
        <v>39</v>
      </c>
      <c r="G369" s="30" t="s">
        <v>516</v>
      </c>
      <c r="H369" s="13" t="s">
        <v>20</v>
      </c>
      <c r="I369" s="13">
        <v>170</v>
      </c>
      <c r="J369" s="30"/>
      <c r="K369" s="30">
        <f t="shared" si="44"/>
        <v>0</v>
      </c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  <c r="AA369" s="341"/>
      <c r="AB369" s="341"/>
      <c r="AC369" s="341"/>
      <c r="AD369" s="341"/>
      <c r="AE369" s="341"/>
      <c r="AF369" s="341"/>
    </row>
    <row r="370" spans="1:32" ht="15" customHeight="1">
      <c r="A370" s="5"/>
      <c r="B370" s="150" t="str">
        <f>HYPERLINK("http://www.amare-moscow.ru/catalog/ulitki/ulitki_v_gorchichnom_souse_pikantnyy_v_m_0_170kg_8sht_rossiya/","Улитки в горчичном соусе ""Пикантный""  в/м  ")</f>
        <v xml:space="preserve">Улитки в горчичном соусе "Пикантный"  в/м  </v>
      </c>
      <c r="C370" s="27"/>
      <c r="D370" s="28" t="s">
        <v>547</v>
      </c>
      <c r="E370" s="12"/>
      <c r="F370" s="29" t="s">
        <v>39</v>
      </c>
      <c r="G370" s="30" t="s">
        <v>516</v>
      </c>
      <c r="H370" s="13" t="s">
        <v>20</v>
      </c>
      <c r="I370" s="13">
        <v>170</v>
      </c>
      <c r="J370" s="30"/>
      <c r="K370" s="30">
        <f t="shared" si="44"/>
        <v>0</v>
      </c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  <c r="AA370" s="341"/>
      <c r="AB370" s="341"/>
      <c r="AC370" s="341"/>
      <c r="AD370" s="341"/>
      <c r="AE370" s="341"/>
      <c r="AF370" s="341"/>
    </row>
    <row r="371" spans="1:32" ht="15" customHeight="1">
      <c r="A371" s="5"/>
      <c r="B371" s="150" t="str">
        <f>HYPERLINK("http://www.amare-moscow.ru/catalog/ulitki/ulitki_v_orekhovom_souse_po_limuzinski_v_m_0_170kg_8sht_rossiya/","Улитки в ореховом соусе по лимузински  в/м  ")</f>
        <v xml:space="preserve">Улитки в ореховом соусе по лимузински  в/м  </v>
      </c>
      <c r="C371" s="27"/>
      <c r="D371" s="28" t="s">
        <v>547</v>
      </c>
      <c r="E371" s="12"/>
      <c r="F371" s="29" t="s">
        <v>39</v>
      </c>
      <c r="G371" s="30" t="s">
        <v>516</v>
      </c>
      <c r="H371" s="13" t="s">
        <v>20</v>
      </c>
      <c r="I371" s="13">
        <v>170</v>
      </c>
      <c r="J371" s="30"/>
      <c r="K371" s="30">
        <f t="shared" si="44"/>
        <v>0</v>
      </c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  <c r="AA371" s="341"/>
      <c r="AB371" s="341"/>
      <c r="AC371" s="341"/>
      <c r="AD371" s="341"/>
      <c r="AE371" s="341"/>
      <c r="AF371" s="341"/>
    </row>
    <row r="372" spans="1:32" ht="15" customHeight="1">
      <c r="A372" s="5"/>
      <c r="B372" s="150" t="str">
        <f>HYPERLINK("http://www.amare-moscow.ru/catalog/ulitki/ulitki_v_chesnochnom_souse_po_burgundski_v_m_0_170kg_8sht_rossiya/","Улитки в чесночном соусе по-бургундски  в/м")</f>
        <v>Улитки в чесночном соусе по-бургундски  в/м</v>
      </c>
      <c r="C372" s="27"/>
      <c r="D372" s="28" t="s">
        <v>547</v>
      </c>
      <c r="E372" s="12"/>
      <c r="F372" s="29" t="s">
        <v>39</v>
      </c>
      <c r="G372" s="30" t="s">
        <v>516</v>
      </c>
      <c r="H372" s="13" t="s">
        <v>20</v>
      </c>
      <c r="I372" s="13">
        <v>170</v>
      </c>
      <c r="J372" s="30"/>
      <c r="K372" s="30">
        <f t="shared" si="44"/>
        <v>0</v>
      </c>
      <c r="L372" s="341"/>
      <c r="M372" s="341"/>
      <c r="N372" s="373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  <c r="AA372" s="341"/>
      <c r="AB372" s="341"/>
      <c r="AC372" s="341"/>
      <c r="AD372" s="341"/>
      <c r="AE372" s="341"/>
      <c r="AF372" s="341"/>
    </row>
    <row r="373" spans="1:32" ht="15" customHeight="1">
      <c r="A373" s="5"/>
      <c r="B373" s="150" t="str">
        <f>HYPERLINK("http://www.amare-moscow.ru/catalog/ulitki/ulitki_s_zharenym_arakhisom_po_somerski_v_m_0_170kg_8sht_rossiya/","Улитки с жареным арахисом по-сомьерски  в/м")</f>
        <v>Улитки с жареным арахисом по-сомьерски  в/м</v>
      </c>
      <c r="C373" s="27"/>
      <c r="D373" s="28" t="s">
        <v>547</v>
      </c>
      <c r="E373" s="12"/>
      <c r="F373" s="29" t="s">
        <v>39</v>
      </c>
      <c r="G373" s="30" t="s">
        <v>516</v>
      </c>
      <c r="H373" s="13" t="s">
        <v>20</v>
      </c>
      <c r="I373" s="13">
        <v>170</v>
      </c>
      <c r="J373" s="30"/>
      <c r="K373" s="30">
        <f t="shared" si="44"/>
        <v>0</v>
      </c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  <c r="AA373" s="341"/>
      <c r="AB373" s="341"/>
      <c r="AC373" s="341"/>
      <c r="AD373" s="341"/>
      <c r="AE373" s="341"/>
      <c r="AF373" s="341"/>
    </row>
    <row r="374" spans="1:32">
      <c r="A374" s="458" t="str">
        <f>HYPERLINK("http://www.amare-moscow.ru/catalog/02_bakaleya/","Бакалея")</f>
        <v>Бакалея</v>
      </c>
      <c r="B374" s="457"/>
      <c r="C374" s="457"/>
      <c r="D374" s="457"/>
      <c r="E374" s="457"/>
      <c r="F374" s="457"/>
      <c r="G374" s="457"/>
      <c r="H374" s="457"/>
      <c r="I374" s="457"/>
      <c r="J374" s="457"/>
      <c r="K374" s="459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  <c r="AA374" s="341"/>
      <c r="AB374" s="341"/>
      <c r="AC374" s="341"/>
      <c r="AD374" s="341"/>
      <c r="AE374" s="341"/>
      <c r="AF374" s="341"/>
    </row>
    <row r="375" spans="1:32" ht="26.25" customHeight="1">
      <c r="A375" s="20"/>
      <c r="B375" s="331" t="str">
        <f>HYPERLINK("http://www.amare-moscow.ru/catalog/olivkovoe_maslo/","Оливковое масло")</f>
        <v>Оливковое масло</v>
      </c>
      <c r="C375" s="332"/>
      <c r="D375" s="23" t="s">
        <v>28</v>
      </c>
      <c r="E375" s="23" t="s">
        <v>29</v>
      </c>
      <c r="F375" s="24" t="s">
        <v>30</v>
      </c>
      <c r="G375" s="23" t="s">
        <v>31</v>
      </c>
      <c r="H375" s="25" t="s">
        <v>32</v>
      </c>
      <c r="I375" s="24" t="s">
        <v>33</v>
      </c>
      <c r="J375" s="24" t="s">
        <v>34</v>
      </c>
      <c r="K375" s="23" t="s">
        <v>35</v>
      </c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</row>
    <row r="376" spans="1:32" ht="15" customHeight="1">
      <c r="A376" s="5"/>
      <c r="B376" s="150" t="str">
        <f>HYPERLINK("http://www.amare-moscow.ru/catalog/olivkovoe_maslo/maslo_olivkovoe_extra_virgin_steklo_don_kreveton_1l_12_sht_italiya/","Масло оливковое extra virgin стекло")</f>
        <v>Масло оливковое extra virgin стекло</v>
      </c>
      <c r="C376" s="27"/>
      <c r="D376" s="28" t="s">
        <v>762</v>
      </c>
      <c r="E376" s="119"/>
      <c r="F376" s="29" t="s">
        <v>568</v>
      </c>
      <c r="G376" s="30" t="s">
        <v>560</v>
      </c>
      <c r="H376" s="217" t="s">
        <v>20</v>
      </c>
      <c r="I376" s="334" t="s">
        <v>143</v>
      </c>
      <c r="J376" s="30"/>
      <c r="K376" s="30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</row>
    <row r="377" spans="1:32" ht="45">
      <c r="A377" s="20"/>
      <c r="B377" s="331" t="str">
        <f>HYPERLINK("http://www.amare-moscow.ru/catalog/ostalnaya_bakaleya/","Остальная бакалея")</f>
        <v>Остальная бакалея</v>
      </c>
      <c r="C377" s="332"/>
      <c r="D377" s="23" t="s">
        <v>28</v>
      </c>
      <c r="E377" s="24"/>
      <c r="F377" s="24" t="s">
        <v>30</v>
      </c>
      <c r="G377" s="23" t="s">
        <v>31</v>
      </c>
      <c r="H377" s="25" t="s">
        <v>32</v>
      </c>
      <c r="I377" s="24" t="s">
        <v>33</v>
      </c>
      <c r="J377" s="24" t="s">
        <v>34</v>
      </c>
      <c r="K377" s="23" t="s">
        <v>35</v>
      </c>
      <c r="L377" s="373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</row>
    <row r="378" spans="1:32" ht="15" customHeight="1">
      <c r="A378" s="434"/>
      <c r="B378" s="150" t="str">
        <f>HYPERLINK("http://www.amare-moscow.ru/catalog/02_bakaleya/griby_sushenye_shiitake_0_5_kg_kitay/","Грибы сушеные Шиитаке")</f>
        <v>Грибы сушеные Шиитаке</v>
      </c>
      <c r="C378" s="27"/>
      <c r="D378" s="30" t="s">
        <v>216</v>
      </c>
      <c r="E378" s="12"/>
      <c r="F378" s="119"/>
      <c r="G378" s="30" t="s">
        <v>244</v>
      </c>
      <c r="H378" s="13" t="s">
        <v>22</v>
      </c>
      <c r="I378" s="13">
        <v>1070</v>
      </c>
      <c r="J378" s="30"/>
      <c r="K378" s="30">
        <f t="shared" ref="K378:K380" si="45">I378*J378</f>
        <v>0</v>
      </c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</row>
    <row r="379" spans="1:32" ht="15" customHeight="1">
      <c r="A379" s="5"/>
      <c r="B379" s="156" t="s">
        <v>763</v>
      </c>
      <c r="C379" s="27"/>
      <c r="D379" s="30" t="s">
        <v>216</v>
      </c>
      <c r="E379" s="12"/>
      <c r="F379" s="119" t="s">
        <v>213</v>
      </c>
      <c r="G379" s="30" t="s">
        <v>244</v>
      </c>
      <c r="H379" s="13" t="s">
        <v>22</v>
      </c>
      <c r="I379" s="13">
        <v>120</v>
      </c>
      <c r="J379" s="30"/>
      <c r="K379" s="30">
        <f t="shared" si="45"/>
        <v>0</v>
      </c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</row>
    <row r="380" spans="1:32" ht="15" customHeight="1">
      <c r="A380" s="5"/>
      <c r="B380" s="156" t="s">
        <v>564</v>
      </c>
      <c r="C380" s="27"/>
      <c r="D380" s="30" t="s">
        <v>216</v>
      </c>
      <c r="E380" s="12"/>
      <c r="F380" s="119" t="s">
        <v>213</v>
      </c>
      <c r="G380" s="30" t="s">
        <v>244</v>
      </c>
      <c r="H380" s="13" t="s">
        <v>22</v>
      </c>
      <c r="I380" s="13">
        <v>120</v>
      </c>
      <c r="J380" s="30"/>
      <c r="K380" s="30">
        <f t="shared" si="45"/>
        <v>0</v>
      </c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  <c r="AA380" s="341"/>
      <c r="AB380" s="341"/>
      <c r="AC380" s="341"/>
      <c r="AD380" s="341"/>
      <c r="AE380" s="341"/>
      <c r="AF380" s="341"/>
    </row>
    <row r="381" spans="1:32" ht="15" customHeight="1">
      <c r="A381" s="5"/>
      <c r="B381" s="338" t="s">
        <v>565</v>
      </c>
      <c r="C381" s="339"/>
      <c r="D381" s="340"/>
      <c r="E381" s="340"/>
      <c r="F381" s="340"/>
      <c r="G381" s="340"/>
      <c r="H381" s="340"/>
      <c r="I381" s="340"/>
      <c r="J381" s="340"/>
      <c r="K381" s="340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  <c r="AA381" s="341"/>
      <c r="AB381" s="341"/>
      <c r="AC381" s="341"/>
      <c r="AD381" s="341"/>
      <c r="AE381" s="341"/>
      <c r="AF381" s="341"/>
    </row>
    <row r="382" spans="1:32" ht="15">
      <c r="A382" s="341"/>
      <c r="B382" s="156" t="s">
        <v>566</v>
      </c>
      <c r="C382" s="342"/>
      <c r="D382" s="40" t="s">
        <v>567</v>
      </c>
      <c r="E382" s="343"/>
      <c r="F382" s="344" t="s">
        <v>568</v>
      </c>
      <c r="G382" s="345" t="s">
        <v>305</v>
      </c>
      <c r="H382" s="40" t="s">
        <v>569</v>
      </c>
      <c r="I382" s="40">
        <v>360</v>
      </c>
      <c r="J382" s="346"/>
      <c r="K382" s="30">
        <f t="shared" ref="K382:K383" si="46">I382*J382</f>
        <v>0</v>
      </c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  <c r="AA382" s="341"/>
      <c r="AB382" s="341"/>
      <c r="AC382" s="341"/>
      <c r="AD382" s="341"/>
      <c r="AE382" s="341"/>
      <c r="AF382" s="341"/>
    </row>
    <row r="383" spans="1:32" ht="15">
      <c r="A383" s="341"/>
      <c r="B383" s="347" t="s">
        <v>570</v>
      </c>
      <c r="C383" s="342"/>
      <c r="D383" s="40" t="s">
        <v>571</v>
      </c>
      <c r="E383" s="343"/>
      <c r="F383" s="348"/>
      <c r="G383" s="345" t="s">
        <v>305</v>
      </c>
      <c r="H383" s="40" t="s">
        <v>20</v>
      </c>
      <c r="I383" s="40">
        <v>39</v>
      </c>
      <c r="J383" s="346"/>
      <c r="K383" s="30">
        <f t="shared" si="46"/>
        <v>0</v>
      </c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  <c r="AA383" s="341"/>
      <c r="AB383" s="341"/>
      <c r="AC383" s="341"/>
      <c r="AD383" s="341"/>
      <c r="AE383" s="341"/>
      <c r="AF383" s="341"/>
    </row>
    <row r="384" spans="1:32" ht="15">
      <c r="A384" s="341"/>
      <c r="B384" s="365"/>
      <c r="C384" s="365"/>
      <c r="D384" s="366"/>
      <c r="E384" s="366"/>
      <c r="F384" s="367"/>
      <c r="G384" s="367"/>
      <c r="H384" s="366"/>
      <c r="I384" s="366"/>
      <c r="J384" s="368"/>
      <c r="K384" s="435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  <c r="AA384" s="341"/>
      <c r="AB384" s="341"/>
      <c r="AC384" s="341"/>
      <c r="AD384" s="341"/>
      <c r="AE384" s="341"/>
      <c r="AF384" s="341"/>
    </row>
    <row r="385" spans="1:32" ht="15">
      <c r="A385" s="341"/>
      <c r="B385" s="365"/>
      <c r="C385" s="365"/>
      <c r="D385" s="366"/>
      <c r="E385" s="366"/>
      <c r="F385" s="367"/>
      <c r="G385" s="367"/>
      <c r="H385" s="436"/>
      <c r="I385" s="436" t="s">
        <v>764</v>
      </c>
      <c r="J385" s="368"/>
      <c r="K385" s="437">
        <f>SUM(K14:K378)</f>
        <v>0</v>
      </c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  <c r="AA385" s="341"/>
      <c r="AB385" s="341"/>
      <c r="AC385" s="341"/>
      <c r="AD385" s="341"/>
      <c r="AE385" s="341"/>
      <c r="AF385" s="341"/>
    </row>
    <row r="386" spans="1:32" ht="15">
      <c r="A386" s="341"/>
      <c r="B386" s="365"/>
      <c r="C386" s="365"/>
      <c r="D386" s="366"/>
      <c r="E386" s="366"/>
      <c r="F386" s="367"/>
      <c r="G386" s="367"/>
      <c r="H386" s="366"/>
      <c r="I386" s="366"/>
      <c r="J386" s="368"/>
      <c r="K386" s="368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  <c r="AA386" s="341"/>
      <c r="AB386" s="341"/>
      <c r="AC386" s="341"/>
      <c r="AD386" s="341"/>
      <c r="AE386" s="341"/>
      <c r="AF386" s="341"/>
    </row>
    <row r="387" spans="1:32" ht="15">
      <c r="A387" s="341"/>
      <c r="B387" s="365"/>
      <c r="C387" s="365"/>
      <c r="D387" s="366"/>
      <c r="E387" s="366"/>
      <c r="F387" s="367"/>
      <c r="G387" s="367"/>
      <c r="H387" s="366"/>
      <c r="I387" s="366"/>
      <c r="J387" s="368"/>
      <c r="K387" s="368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  <c r="AA387" s="341"/>
      <c r="AB387" s="341"/>
      <c r="AC387" s="341"/>
      <c r="AD387" s="341"/>
      <c r="AE387" s="341"/>
      <c r="AF387" s="341"/>
    </row>
    <row r="388" spans="1:32" ht="15">
      <c r="A388" s="341"/>
      <c r="B388" s="365"/>
      <c r="C388" s="365"/>
      <c r="D388" s="366"/>
      <c r="E388" s="366"/>
      <c r="F388" s="367"/>
      <c r="G388" s="367"/>
      <c r="H388" s="366"/>
      <c r="I388" s="366"/>
      <c r="J388" s="368"/>
      <c r="K388" s="368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  <c r="AA388" s="341"/>
      <c r="AB388" s="341"/>
      <c r="AC388" s="341"/>
      <c r="AD388" s="341"/>
      <c r="AE388" s="341"/>
      <c r="AF388" s="341"/>
    </row>
    <row r="389" spans="1:32" ht="15">
      <c r="A389" s="341"/>
      <c r="B389" s="365"/>
      <c r="C389" s="365"/>
      <c r="D389" s="366"/>
      <c r="E389" s="366"/>
      <c r="F389" s="367"/>
      <c r="G389" s="367"/>
      <c r="H389" s="366"/>
      <c r="I389" s="366"/>
      <c r="J389" s="368"/>
      <c r="K389" s="368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  <c r="AA389" s="341"/>
      <c r="AB389" s="341"/>
      <c r="AC389" s="341"/>
      <c r="AD389" s="341"/>
      <c r="AE389" s="341"/>
      <c r="AF389" s="341"/>
    </row>
    <row r="390" spans="1:32" ht="15">
      <c r="A390" s="341"/>
      <c r="B390" s="365"/>
      <c r="C390" s="365"/>
      <c r="D390" s="366"/>
      <c r="E390" s="366"/>
      <c r="F390" s="367"/>
      <c r="G390" s="367"/>
      <c r="H390" s="366"/>
      <c r="I390" s="366"/>
      <c r="J390" s="368"/>
      <c r="K390" s="368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  <c r="AA390" s="341"/>
      <c r="AB390" s="341"/>
      <c r="AC390" s="341"/>
      <c r="AD390" s="341"/>
      <c r="AE390" s="341"/>
      <c r="AF390" s="341"/>
    </row>
    <row r="391" spans="1:32" ht="15">
      <c r="A391" s="341"/>
      <c r="B391" s="365"/>
      <c r="C391" s="365"/>
      <c r="D391" s="366"/>
      <c r="E391" s="366"/>
      <c r="F391" s="367"/>
      <c r="G391" s="367"/>
      <c r="H391" s="366"/>
      <c r="I391" s="366"/>
      <c r="J391" s="368"/>
      <c r="K391" s="368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  <c r="AA391" s="341"/>
      <c r="AB391" s="341"/>
      <c r="AC391" s="341"/>
      <c r="AD391" s="341"/>
      <c r="AE391" s="341"/>
      <c r="AF391" s="341"/>
    </row>
    <row r="392" spans="1:32" ht="15">
      <c r="A392" s="341"/>
      <c r="B392" s="365"/>
      <c r="C392" s="365"/>
      <c r="D392" s="366"/>
      <c r="E392" s="366"/>
      <c r="F392" s="367"/>
      <c r="G392" s="367"/>
      <c r="H392" s="366"/>
      <c r="I392" s="366"/>
      <c r="J392" s="368"/>
      <c r="K392" s="368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  <c r="AA392" s="341"/>
      <c r="AB392" s="341"/>
      <c r="AC392" s="341"/>
      <c r="AD392" s="341"/>
      <c r="AE392" s="341"/>
      <c r="AF392" s="341"/>
    </row>
    <row r="393" spans="1:32" ht="15">
      <c r="A393" s="341"/>
      <c r="B393" s="365"/>
      <c r="C393" s="365"/>
      <c r="D393" s="366"/>
      <c r="E393" s="366"/>
      <c r="F393" s="367"/>
      <c r="G393" s="367"/>
      <c r="H393" s="366"/>
      <c r="I393" s="366"/>
      <c r="J393" s="368"/>
      <c r="K393" s="368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  <c r="AA393" s="341"/>
      <c r="AB393" s="341"/>
      <c r="AC393" s="341"/>
      <c r="AD393" s="341"/>
      <c r="AE393" s="341"/>
      <c r="AF393" s="341"/>
    </row>
    <row r="394" spans="1:32" ht="15">
      <c r="A394" s="341"/>
      <c r="B394" s="365"/>
      <c r="C394" s="365"/>
      <c r="D394" s="366"/>
      <c r="E394" s="366"/>
      <c r="F394" s="367"/>
      <c r="G394" s="367"/>
      <c r="H394" s="366"/>
      <c r="I394" s="366"/>
      <c r="J394" s="368"/>
      <c r="K394" s="368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  <c r="AA394" s="341"/>
      <c r="AB394" s="341"/>
      <c r="AC394" s="341"/>
      <c r="AD394" s="341"/>
      <c r="AE394" s="341"/>
      <c r="AF394" s="341"/>
    </row>
    <row r="395" spans="1:32" ht="15">
      <c r="A395" s="341"/>
      <c r="B395" s="365"/>
      <c r="C395" s="365"/>
      <c r="D395" s="366"/>
      <c r="E395" s="366"/>
      <c r="F395" s="367"/>
      <c r="G395" s="367"/>
      <c r="H395" s="366"/>
      <c r="I395" s="366"/>
      <c r="J395" s="368"/>
      <c r="K395" s="368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  <c r="AA395" s="341"/>
      <c r="AB395" s="341"/>
      <c r="AC395" s="341"/>
      <c r="AD395" s="341"/>
      <c r="AE395" s="341"/>
      <c r="AF395" s="341"/>
    </row>
    <row r="396" spans="1:32" ht="15">
      <c r="A396" s="341"/>
      <c r="B396" s="365"/>
      <c r="C396" s="365"/>
      <c r="D396" s="366"/>
      <c r="E396" s="366"/>
      <c r="F396" s="367"/>
      <c r="G396" s="367"/>
      <c r="H396" s="366"/>
      <c r="I396" s="366"/>
      <c r="J396" s="368"/>
      <c r="K396" s="368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  <c r="AA396" s="341"/>
      <c r="AB396" s="341"/>
      <c r="AC396" s="341"/>
      <c r="AD396" s="341"/>
      <c r="AE396" s="341"/>
      <c r="AF396" s="341"/>
    </row>
    <row r="397" spans="1:32" ht="15">
      <c r="A397" s="341"/>
      <c r="B397" s="365"/>
      <c r="C397" s="365"/>
      <c r="D397" s="366"/>
      <c r="E397" s="366"/>
      <c r="F397" s="367"/>
      <c r="G397" s="367"/>
      <c r="H397" s="366"/>
      <c r="I397" s="366"/>
      <c r="J397" s="368"/>
      <c r="K397" s="368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  <c r="AA397" s="341"/>
      <c r="AB397" s="341"/>
      <c r="AC397" s="341"/>
      <c r="AD397" s="341"/>
      <c r="AE397" s="341"/>
      <c r="AF397" s="341"/>
    </row>
    <row r="398" spans="1:32" ht="15">
      <c r="A398" s="341"/>
      <c r="B398" s="365"/>
      <c r="C398" s="365"/>
      <c r="D398" s="366"/>
      <c r="E398" s="366"/>
      <c r="F398" s="367"/>
      <c r="G398" s="367"/>
      <c r="H398" s="366"/>
      <c r="I398" s="366"/>
      <c r="J398" s="368"/>
      <c r="K398" s="368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  <c r="AA398" s="341"/>
      <c r="AB398" s="341"/>
      <c r="AC398" s="341"/>
      <c r="AD398" s="341"/>
      <c r="AE398" s="341"/>
      <c r="AF398" s="341"/>
    </row>
    <row r="399" spans="1:32" ht="15">
      <c r="A399" s="341"/>
      <c r="B399" s="365"/>
      <c r="C399" s="365"/>
      <c r="D399" s="366"/>
      <c r="E399" s="366"/>
      <c r="F399" s="367"/>
      <c r="G399" s="367"/>
      <c r="H399" s="366"/>
      <c r="I399" s="366"/>
      <c r="J399" s="368"/>
      <c r="K399" s="368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  <c r="AA399" s="341"/>
      <c r="AB399" s="341"/>
      <c r="AC399" s="341"/>
      <c r="AD399" s="341"/>
      <c r="AE399" s="341"/>
      <c r="AF399" s="341"/>
    </row>
    <row r="400" spans="1:32" ht="15">
      <c r="A400" s="341"/>
      <c r="B400" s="365"/>
      <c r="C400" s="365"/>
      <c r="D400" s="366"/>
      <c r="E400" s="366"/>
      <c r="F400" s="367"/>
      <c r="G400" s="367"/>
      <c r="H400" s="366"/>
      <c r="I400" s="366"/>
      <c r="J400" s="368"/>
      <c r="K400" s="368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  <c r="AA400" s="341"/>
      <c r="AB400" s="341"/>
      <c r="AC400" s="341"/>
      <c r="AD400" s="341"/>
      <c r="AE400" s="341"/>
      <c r="AF400" s="341"/>
    </row>
    <row r="401" spans="1:32" ht="15">
      <c r="A401" s="341"/>
      <c r="B401" s="365"/>
      <c r="C401" s="365"/>
      <c r="D401" s="366"/>
      <c r="E401" s="366"/>
      <c r="F401" s="367"/>
      <c r="G401" s="367"/>
      <c r="H401" s="366"/>
      <c r="I401" s="366"/>
      <c r="J401" s="368"/>
      <c r="K401" s="368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  <c r="AA401" s="341"/>
      <c r="AB401" s="341"/>
      <c r="AC401" s="341"/>
      <c r="AD401" s="341"/>
      <c r="AE401" s="341"/>
      <c r="AF401" s="341"/>
    </row>
    <row r="402" spans="1:32" ht="15">
      <c r="A402" s="341"/>
      <c r="B402" s="365"/>
      <c r="C402" s="365"/>
      <c r="D402" s="366"/>
      <c r="E402" s="366"/>
      <c r="F402" s="367"/>
      <c r="G402" s="367"/>
      <c r="H402" s="366"/>
      <c r="I402" s="366"/>
      <c r="J402" s="368"/>
      <c r="K402" s="368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  <c r="AA402" s="341"/>
      <c r="AB402" s="341"/>
      <c r="AC402" s="341"/>
      <c r="AD402" s="341"/>
      <c r="AE402" s="341"/>
      <c r="AF402" s="341"/>
    </row>
    <row r="403" spans="1:32" ht="15">
      <c r="A403" s="341"/>
      <c r="B403" s="365"/>
      <c r="C403" s="365"/>
      <c r="D403" s="366"/>
      <c r="E403" s="366"/>
      <c r="F403" s="367"/>
      <c r="G403" s="367"/>
      <c r="H403" s="366"/>
      <c r="I403" s="366"/>
      <c r="J403" s="368"/>
      <c r="K403" s="368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  <c r="AA403" s="341"/>
      <c r="AB403" s="341"/>
      <c r="AC403" s="341"/>
      <c r="AD403" s="341"/>
      <c r="AE403" s="341"/>
      <c r="AF403" s="341"/>
    </row>
    <row r="404" spans="1:32" ht="15">
      <c r="A404" s="341"/>
      <c r="B404" s="365"/>
      <c r="C404" s="365"/>
      <c r="D404" s="366"/>
      <c r="E404" s="366"/>
      <c r="F404" s="367"/>
      <c r="G404" s="367"/>
      <c r="H404" s="366"/>
      <c r="I404" s="366"/>
      <c r="J404" s="368"/>
      <c r="K404" s="368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  <c r="AA404" s="341"/>
      <c r="AB404" s="341"/>
      <c r="AC404" s="341"/>
      <c r="AD404" s="341"/>
      <c r="AE404" s="341"/>
      <c r="AF404" s="341"/>
    </row>
    <row r="405" spans="1:32" ht="15">
      <c r="A405" s="341"/>
      <c r="B405" s="365"/>
      <c r="C405" s="365"/>
      <c r="D405" s="366"/>
      <c r="E405" s="366"/>
      <c r="F405" s="367"/>
      <c r="G405" s="367"/>
      <c r="H405" s="366"/>
      <c r="I405" s="366"/>
      <c r="J405" s="368"/>
      <c r="K405" s="368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  <c r="AA405" s="341"/>
      <c r="AB405" s="341"/>
      <c r="AC405" s="341"/>
      <c r="AD405" s="341"/>
      <c r="AE405" s="341"/>
      <c r="AF405" s="341"/>
    </row>
    <row r="406" spans="1:32" ht="15">
      <c r="A406" s="341"/>
      <c r="B406" s="365"/>
      <c r="C406" s="365"/>
      <c r="D406" s="366"/>
      <c r="E406" s="366"/>
      <c r="F406" s="367"/>
      <c r="G406" s="367"/>
      <c r="H406" s="366"/>
      <c r="I406" s="366"/>
      <c r="J406" s="368"/>
      <c r="K406" s="368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  <c r="AA406" s="341"/>
      <c r="AB406" s="341"/>
      <c r="AC406" s="341"/>
      <c r="AD406" s="341"/>
      <c r="AE406" s="341"/>
      <c r="AF406" s="341"/>
    </row>
    <row r="407" spans="1:32" ht="15">
      <c r="A407" s="341"/>
      <c r="B407" s="365"/>
      <c r="C407" s="365"/>
      <c r="D407" s="366"/>
      <c r="E407" s="366"/>
      <c r="F407" s="367"/>
      <c r="G407" s="367"/>
      <c r="H407" s="366"/>
      <c r="I407" s="366"/>
      <c r="J407" s="368"/>
      <c r="K407" s="368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  <c r="AA407" s="341"/>
      <c r="AB407" s="341"/>
      <c r="AC407" s="341"/>
      <c r="AD407" s="341"/>
      <c r="AE407" s="341"/>
      <c r="AF407" s="341"/>
    </row>
    <row r="408" spans="1:32" ht="15">
      <c r="A408" s="341"/>
      <c r="B408" s="365"/>
      <c r="C408" s="365"/>
      <c r="D408" s="366"/>
      <c r="E408" s="366"/>
      <c r="F408" s="367"/>
      <c r="G408" s="367"/>
      <c r="H408" s="366"/>
      <c r="I408" s="366"/>
      <c r="J408" s="368"/>
      <c r="K408" s="368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  <c r="AA408" s="341"/>
      <c r="AB408" s="341"/>
      <c r="AC408" s="341"/>
      <c r="AD408" s="341"/>
      <c r="AE408" s="341"/>
      <c r="AF408" s="341"/>
    </row>
    <row r="409" spans="1:32" ht="15">
      <c r="A409" s="341"/>
      <c r="B409" s="365"/>
      <c r="C409" s="365"/>
      <c r="D409" s="366"/>
      <c r="E409" s="366"/>
      <c r="F409" s="367"/>
      <c r="G409" s="367"/>
      <c r="H409" s="366"/>
      <c r="I409" s="366"/>
      <c r="J409" s="368"/>
      <c r="K409" s="368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  <c r="AA409" s="341"/>
      <c r="AB409" s="341"/>
      <c r="AC409" s="341"/>
      <c r="AD409" s="341"/>
      <c r="AE409" s="341"/>
      <c r="AF409" s="341"/>
    </row>
    <row r="410" spans="1:32" ht="15">
      <c r="A410" s="341"/>
      <c r="B410" s="365"/>
      <c r="C410" s="365"/>
      <c r="D410" s="366"/>
      <c r="E410" s="366"/>
      <c r="F410" s="367"/>
      <c r="G410" s="367"/>
      <c r="H410" s="366"/>
      <c r="I410" s="366"/>
      <c r="J410" s="368"/>
      <c r="K410" s="368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  <c r="AA410" s="341"/>
      <c r="AB410" s="341"/>
      <c r="AC410" s="341"/>
      <c r="AD410" s="341"/>
      <c r="AE410" s="341"/>
      <c r="AF410" s="341"/>
    </row>
    <row r="411" spans="1:32" ht="15">
      <c r="A411" s="341"/>
      <c r="B411" s="365"/>
      <c r="C411" s="365"/>
      <c r="D411" s="366"/>
      <c r="E411" s="366"/>
      <c r="F411" s="367"/>
      <c r="G411" s="367"/>
      <c r="H411" s="366"/>
      <c r="I411" s="366"/>
      <c r="J411" s="368"/>
      <c r="K411" s="368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  <c r="AA411" s="341"/>
      <c r="AB411" s="341"/>
      <c r="AC411" s="341"/>
      <c r="AD411" s="341"/>
      <c r="AE411" s="341"/>
      <c r="AF411" s="341"/>
    </row>
    <row r="412" spans="1:32" ht="15">
      <c r="A412" s="341"/>
      <c r="B412" s="365"/>
      <c r="C412" s="365"/>
      <c r="D412" s="366"/>
      <c r="E412" s="366"/>
      <c r="F412" s="367"/>
      <c r="G412" s="367"/>
      <c r="H412" s="366"/>
      <c r="I412" s="366"/>
      <c r="J412" s="368"/>
      <c r="K412" s="368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  <c r="AA412" s="341"/>
      <c r="AB412" s="341"/>
      <c r="AC412" s="341"/>
      <c r="AD412" s="341"/>
      <c r="AE412" s="341"/>
      <c r="AF412" s="341"/>
    </row>
    <row r="413" spans="1:32" ht="15">
      <c r="A413" s="341"/>
      <c r="B413" s="365"/>
      <c r="C413" s="365"/>
      <c r="D413" s="366"/>
      <c r="E413" s="366"/>
      <c r="F413" s="367"/>
      <c r="G413" s="367"/>
      <c r="H413" s="366"/>
      <c r="I413" s="366"/>
      <c r="J413" s="368"/>
      <c r="K413" s="368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  <c r="AA413" s="341"/>
      <c r="AB413" s="341"/>
      <c r="AC413" s="341"/>
      <c r="AD413" s="341"/>
      <c r="AE413" s="341"/>
      <c r="AF413" s="341"/>
    </row>
    <row r="414" spans="1:32" ht="15">
      <c r="A414" s="341"/>
      <c r="B414" s="365"/>
      <c r="C414" s="365"/>
      <c r="D414" s="366"/>
      <c r="E414" s="366"/>
      <c r="F414" s="367"/>
      <c r="G414" s="367"/>
      <c r="H414" s="366"/>
      <c r="I414" s="366"/>
      <c r="J414" s="368"/>
      <c r="K414" s="368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  <c r="AA414" s="341"/>
      <c r="AB414" s="341"/>
      <c r="AC414" s="341"/>
      <c r="AD414" s="341"/>
      <c r="AE414" s="341"/>
      <c r="AF414" s="341"/>
    </row>
    <row r="415" spans="1:32" ht="15">
      <c r="A415" s="341"/>
      <c r="B415" s="365"/>
      <c r="C415" s="365"/>
      <c r="D415" s="366"/>
      <c r="E415" s="366"/>
      <c r="F415" s="367"/>
      <c r="G415" s="367"/>
      <c r="H415" s="366"/>
      <c r="I415" s="366"/>
      <c r="J415" s="368"/>
      <c r="K415" s="368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  <c r="AA415" s="341"/>
      <c r="AB415" s="341"/>
      <c r="AC415" s="341"/>
      <c r="AD415" s="341"/>
      <c r="AE415" s="341"/>
      <c r="AF415" s="341"/>
    </row>
    <row r="416" spans="1:32" ht="15">
      <c r="A416" s="341"/>
      <c r="B416" s="365"/>
      <c r="C416" s="365"/>
      <c r="D416" s="366"/>
      <c r="E416" s="366"/>
      <c r="F416" s="367"/>
      <c r="G416" s="367"/>
      <c r="H416" s="366"/>
      <c r="I416" s="366"/>
      <c r="J416" s="368"/>
      <c r="K416" s="368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  <c r="AA416" s="341"/>
      <c r="AB416" s="341"/>
      <c r="AC416" s="341"/>
      <c r="AD416" s="341"/>
      <c r="AE416" s="341"/>
      <c r="AF416" s="341"/>
    </row>
    <row r="417" spans="1:32" ht="15">
      <c r="A417" s="341"/>
      <c r="B417" s="365"/>
      <c r="C417" s="365"/>
      <c r="D417" s="366"/>
      <c r="E417" s="366"/>
      <c r="F417" s="367"/>
      <c r="G417" s="367"/>
      <c r="H417" s="366"/>
      <c r="I417" s="366"/>
      <c r="J417" s="368"/>
      <c r="K417" s="368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  <c r="AA417" s="341"/>
      <c r="AB417" s="341"/>
      <c r="AC417" s="341"/>
      <c r="AD417" s="341"/>
      <c r="AE417" s="341"/>
      <c r="AF417" s="341"/>
    </row>
    <row r="418" spans="1:32" ht="15">
      <c r="A418" s="341"/>
      <c r="B418" s="365"/>
      <c r="C418" s="365"/>
      <c r="D418" s="366"/>
      <c r="E418" s="366"/>
      <c r="F418" s="367"/>
      <c r="G418" s="367"/>
      <c r="H418" s="366"/>
      <c r="I418" s="366"/>
      <c r="J418" s="368"/>
      <c r="K418" s="368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  <c r="AA418" s="341"/>
      <c r="AB418" s="341"/>
      <c r="AC418" s="341"/>
      <c r="AD418" s="341"/>
      <c r="AE418" s="341"/>
      <c r="AF418" s="341"/>
    </row>
    <row r="419" spans="1:32" ht="15">
      <c r="A419" s="341"/>
      <c r="B419" s="365"/>
      <c r="C419" s="365"/>
      <c r="D419" s="366"/>
      <c r="E419" s="366"/>
      <c r="F419" s="367"/>
      <c r="G419" s="367"/>
      <c r="H419" s="366"/>
      <c r="I419" s="366"/>
      <c r="J419" s="368"/>
      <c r="K419" s="368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  <c r="AA419" s="341"/>
      <c r="AB419" s="341"/>
      <c r="AC419" s="341"/>
      <c r="AD419" s="341"/>
      <c r="AE419" s="341"/>
      <c r="AF419" s="341"/>
    </row>
    <row r="420" spans="1:32" ht="15">
      <c r="A420" s="341"/>
      <c r="B420" s="365"/>
      <c r="C420" s="365"/>
      <c r="D420" s="366"/>
      <c r="E420" s="366"/>
      <c r="F420" s="367"/>
      <c r="G420" s="367"/>
      <c r="H420" s="366"/>
      <c r="I420" s="366"/>
      <c r="J420" s="368"/>
      <c r="K420" s="368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  <c r="AA420" s="341"/>
      <c r="AB420" s="341"/>
      <c r="AC420" s="341"/>
      <c r="AD420" s="341"/>
      <c r="AE420" s="341"/>
      <c r="AF420" s="341"/>
    </row>
    <row r="421" spans="1:32" ht="15">
      <c r="A421" s="341"/>
      <c r="B421" s="365"/>
      <c r="C421" s="365"/>
      <c r="D421" s="366"/>
      <c r="E421" s="366"/>
      <c r="F421" s="367"/>
      <c r="G421" s="367"/>
      <c r="H421" s="366"/>
      <c r="I421" s="366"/>
      <c r="J421" s="368"/>
      <c r="K421" s="368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  <c r="AA421" s="341"/>
      <c r="AB421" s="341"/>
      <c r="AC421" s="341"/>
      <c r="AD421" s="341"/>
      <c r="AE421" s="341"/>
      <c r="AF421" s="341"/>
    </row>
    <row r="422" spans="1:32" ht="15">
      <c r="A422" s="341"/>
      <c r="B422" s="365"/>
      <c r="C422" s="365"/>
      <c r="D422" s="366"/>
      <c r="E422" s="366"/>
      <c r="F422" s="367"/>
      <c r="G422" s="367"/>
      <c r="H422" s="366"/>
      <c r="I422" s="366"/>
      <c r="J422" s="368"/>
      <c r="K422" s="368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  <c r="AA422" s="341"/>
      <c r="AB422" s="341"/>
      <c r="AC422" s="341"/>
      <c r="AD422" s="341"/>
      <c r="AE422" s="341"/>
      <c r="AF422" s="341"/>
    </row>
    <row r="423" spans="1:32" ht="15">
      <c r="A423" s="341"/>
      <c r="B423" s="365"/>
      <c r="C423" s="365"/>
      <c r="D423" s="366"/>
      <c r="E423" s="366"/>
      <c r="F423" s="367"/>
      <c r="G423" s="367"/>
      <c r="H423" s="366"/>
      <c r="I423" s="366"/>
      <c r="J423" s="368"/>
      <c r="K423" s="368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  <c r="AA423" s="341"/>
      <c r="AB423" s="341"/>
      <c r="AC423" s="341"/>
      <c r="AD423" s="341"/>
      <c r="AE423" s="341"/>
      <c r="AF423" s="341"/>
    </row>
    <row r="424" spans="1:32" ht="15">
      <c r="A424" s="341"/>
      <c r="B424" s="365"/>
      <c r="C424" s="365"/>
      <c r="D424" s="366"/>
      <c r="E424" s="366"/>
      <c r="F424" s="367"/>
      <c r="G424" s="367"/>
      <c r="H424" s="366"/>
      <c r="I424" s="366"/>
      <c r="J424" s="368"/>
      <c r="K424" s="368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  <c r="AA424" s="341"/>
      <c r="AB424" s="341"/>
      <c r="AC424" s="341"/>
      <c r="AD424" s="341"/>
      <c r="AE424" s="341"/>
      <c r="AF424" s="341"/>
    </row>
    <row r="425" spans="1:32" ht="15">
      <c r="A425" s="341"/>
      <c r="B425" s="365"/>
      <c r="C425" s="365"/>
      <c r="D425" s="366"/>
      <c r="E425" s="366"/>
      <c r="F425" s="367"/>
      <c r="G425" s="367"/>
      <c r="H425" s="366"/>
      <c r="I425" s="366"/>
      <c r="J425" s="368"/>
      <c r="K425" s="368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  <c r="AA425" s="341"/>
      <c r="AB425" s="341"/>
      <c r="AC425" s="341"/>
      <c r="AD425" s="341"/>
      <c r="AE425" s="341"/>
      <c r="AF425" s="341"/>
    </row>
    <row r="426" spans="1:32" ht="15">
      <c r="A426" s="341"/>
      <c r="B426" s="365"/>
      <c r="C426" s="365"/>
      <c r="D426" s="366"/>
      <c r="E426" s="366"/>
      <c r="F426" s="367"/>
      <c r="G426" s="367"/>
      <c r="H426" s="366"/>
      <c r="I426" s="366"/>
      <c r="J426" s="368"/>
      <c r="K426" s="368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  <c r="AA426" s="341"/>
      <c r="AB426" s="341"/>
      <c r="AC426" s="341"/>
      <c r="AD426" s="341"/>
      <c r="AE426" s="341"/>
      <c r="AF426" s="341"/>
    </row>
    <row r="427" spans="1:32" ht="15">
      <c r="A427" s="341"/>
      <c r="B427" s="365"/>
      <c r="C427" s="365"/>
      <c r="D427" s="366"/>
      <c r="E427" s="366"/>
      <c r="F427" s="367"/>
      <c r="G427" s="367"/>
      <c r="H427" s="366"/>
      <c r="I427" s="366"/>
      <c r="J427" s="368"/>
      <c r="K427" s="368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  <c r="AA427" s="341"/>
      <c r="AB427" s="341"/>
      <c r="AC427" s="341"/>
      <c r="AD427" s="341"/>
      <c r="AE427" s="341"/>
      <c r="AF427" s="341"/>
    </row>
    <row r="428" spans="1:32" ht="15">
      <c r="A428" s="341"/>
      <c r="B428" s="365"/>
      <c r="C428" s="365"/>
      <c r="D428" s="366"/>
      <c r="E428" s="366"/>
      <c r="F428" s="367"/>
      <c r="G428" s="367"/>
      <c r="H428" s="366"/>
      <c r="I428" s="366"/>
      <c r="J428" s="368"/>
      <c r="K428" s="368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  <c r="AA428" s="341"/>
      <c r="AB428" s="341"/>
      <c r="AC428" s="341"/>
      <c r="AD428" s="341"/>
      <c r="AE428" s="341"/>
      <c r="AF428" s="341"/>
    </row>
    <row r="429" spans="1:32" ht="15">
      <c r="A429" s="341"/>
      <c r="B429" s="365"/>
      <c r="C429" s="365"/>
      <c r="D429" s="366"/>
      <c r="E429" s="366"/>
      <c r="F429" s="367"/>
      <c r="G429" s="367"/>
      <c r="H429" s="366"/>
      <c r="I429" s="366"/>
      <c r="J429" s="368"/>
      <c r="K429" s="368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  <c r="AA429" s="341"/>
      <c r="AB429" s="341"/>
      <c r="AC429" s="341"/>
      <c r="AD429" s="341"/>
      <c r="AE429" s="341"/>
      <c r="AF429" s="341"/>
    </row>
    <row r="430" spans="1:32" ht="15">
      <c r="A430" s="341"/>
      <c r="B430" s="365"/>
      <c r="C430" s="365"/>
      <c r="D430" s="366"/>
      <c r="E430" s="366"/>
      <c r="F430" s="367"/>
      <c r="G430" s="367"/>
      <c r="H430" s="366"/>
      <c r="I430" s="366"/>
      <c r="J430" s="368"/>
      <c r="K430" s="368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  <c r="AA430" s="341"/>
      <c r="AB430" s="341"/>
      <c r="AC430" s="341"/>
      <c r="AD430" s="341"/>
      <c r="AE430" s="341"/>
      <c r="AF430" s="341"/>
    </row>
    <row r="431" spans="1:32" ht="15">
      <c r="A431" s="341"/>
      <c r="B431" s="365"/>
      <c r="C431" s="365"/>
      <c r="D431" s="366"/>
      <c r="E431" s="366"/>
      <c r="F431" s="367"/>
      <c r="G431" s="367"/>
      <c r="H431" s="366"/>
      <c r="I431" s="366"/>
      <c r="J431" s="368"/>
      <c r="K431" s="368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  <c r="AA431" s="341"/>
      <c r="AB431" s="341"/>
      <c r="AC431" s="341"/>
      <c r="AD431" s="341"/>
      <c r="AE431" s="341"/>
      <c r="AF431" s="341"/>
    </row>
    <row r="432" spans="1:32" ht="15">
      <c r="A432" s="341"/>
      <c r="B432" s="365"/>
      <c r="C432" s="365"/>
      <c r="D432" s="366"/>
      <c r="E432" s="366"/>
      <c r="F432" s="367"/>
      <c r="G432" s="367"/>
      <c r="H432" s="366"/>
      <c r="I432" s="366"/>
      <c r="J432" s="368"/>
      <c r="K432" s="368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  <c r="AA432" s="341"/>
      <c r="AB432" s="341"/>
      <c r="AC432" s="341"/>
      <c r="AD432" s="341"/>
      <c r="AE432" s="341"/>
      <c r="AF432" s="341"/>
    </row>
    <row r="433" spans="1:32" ht="15">
      <c r="A433" s="341"/>
      <c r="B433" s="365"/>
      <c r="C433" s="365"/>
      <c r="D433" s="366"/>
      <c r="E433" s="366"/>
      <c r="F433" s="367"/>
      <c r="G433" s="367"/>
      <c r="H433" s="366"/>
      <c r="I433" s="366"/>
      <c r="J433" s="368"/>
      <c r="K433" s="368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  <c r="AA433" s="341"/>
      <c r="AB433" s="341"/>
      <c r="AC433" s="341"/>
      <c r="AD433" s="341"/>
      <c r="AE433" s="341"/>
      <c r="AF433" s="341"/>
    </row>
    <row r="434" spans="1:32" ht="15">
      <c r="A434" s="341"/>
      <c r="B434" s="365"/>
      <c r="C434" s="365"/>
      <c r="D434" s="366"/>
      <c r="E434" s="366"/>
      <c r="F434" s="367"/>
      <c r="G434" s="367"/>
      <c r="H434" s="366"/>
      <c r="I434" s="366"/>
      <c r="J434" s="368"/>
      <c r="K434" s="368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  <c r="AA434" s="341"/>
      <c r="AB434" s="341"/>
      <c r="AC434" s="341"/>
      <c r="AD434" s="341"/>
      <c r="AE434" s="341"/>
      <c r="AF434" s="341"/>
    </row>
    <row r="435" spans="1:32" ht="15">
      <c r="A435" s="341"/>
      <c r="B435" s="365"/>
      <c r="C435" s="365"/>
      <c r="D435" s="366"/>
      <c r="E435" s="366"/>
      <c r="F435" s="367"/>
      <c r="G435" s="367"/>
      <c r="H435" s="366"/>
      <c r="I435" s="366"/>
      <c r="J435" s="368"/>
      <c r="K435" s="368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  <c r="AA435" s="341"/>
      <c r="AB435" s="341"/>
      <c r="AC435" s="341"/>
      <c r="AD435" s="341"/>
      <c r="AE435" s="341"/>
      <c r="AF435" s="341"/>
    </row>
    <row r="436" spans="1:32" ht="15">
      <c r="A436" s="341"/>
      <c r="B436" s="365"/>
      <c r="C436" s="365"/>
      <c r="D436" s="366"/>
      <c r="E436" s="366"/>
      <c r="F436" s="367"/>
      <c r="G436" s="367"/>
      <c r="H436" s="366"/>
      <c r="I436" s="366"/>
      <c r="J436" s="368"/>
      <c r="K436" s="368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  <c r="AA436" s="341"/>
      <c r="AB436" s="341"/>
      <c r="AC436" s="341"/>
      <c r="AD436" s="341"/>
      <c r="AE436" s="341"/>
      <c r="AF436" s="341"/>
    </row>
    <row r="437" spans="1:32" ht="15">
      <c r="A437" s="341"/>
      <c r="B437" s="365"/>
      <c r="C437" s="365"/>
      <c r="D437" s="366"/>
      <c r="E437" s="366"/>
      <c r="F437" s="367"/>
      <c r="G437" s="367"/>
      <c r="H437" s="366"/>
      <c r="I437" s="366"/>
      <c r="J437" s="368"/>
      <c r="K437" s="368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  <c r="AA437" s="341"/>
      <c r="AB437" s="341"/>
      <c r="AC437" s="341"/>
      <c r="AD437" s="341"/>
      <c r="AE437" s="341"/>
      <c r="AF437" s="341"/>
    </row>
    <row r="438" spans="1:32" ht="15">
      <c r="A438" s="341"/>
      <c r="B438" s="365"/>
      <c r="C438" s="365"/>
      <c r="D438" s="366"/>
      <c r="E438" s="366"/>
      <c r="F438" s="367"/>
      <c r="G438" s="367"/>
      <c r="H438" s="366"/>
      <c r="I438" s="366"/>
      <c r="J438" s="368"/>
      <c r="K438" s="368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  <c r="AA438" s="341"/>
      <c r="AB438" s="341"/>
      <c r="AC438" s="341"/>
      <c r="AD438" s="341"/>
      <c r="AE438" s="341"/>
      <c r="AF438" s="341"/>
    </row>
    <row r="439" spans="1:32" ht="15">
      <c r="A439" s="341"/>
      <c r="B439" s="365"/>
      <c r="C439" s="365"/>
      <c r="D439" s="366"/>
      <c r="E439" s="366"/>
      <c r="F439" s="367"/>
      <c r="G439" s="367"/>
      <c r="H439" s="366"/>
      <c r="I439" s="366"/>
      <c r="J439" s="368"/>
      <c r="K439" s="368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  <c r="AA439" s="341"/>
      <c r="AB439" s="341"/>
      <c r="AC439" s="341"/>
      <c r="AD439" s="341"/>
      <c r="AE439" s="341"/>
      <c r="AF439" s="341"/>
    </row>
    <row r="440" spans="1:32" ht="15">
      <c r="A440" s="341"/>
      <c r="B440" s="365"/>
      <c r="C440" s="365"/>
      <c r="D440" s="366"/>
      <c r="E440" s="366"/>
      <c r="F440" s="367"/>
      <c r="G440" s="367"/>
      <c r="H440" s="366"/>
      <c r="I440" s="366"/>
      <c r="J440" s="368"/>
      <c r="K440" s="368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  <c r="AA440" s="341"/>
      <c r="AB440" s="341"/>
      <c r="AC440" s="341"/>
      <c r="AD440" s="341"/>
      <c r="AE440" s="341"/>
      <c r="AF440" s="341"/>
    </row>
    <row r="441" spans="1:32" ht="15">
      <c r="A441" s="341"/>
      <c r="B441" s="365"/>
      <c r="C441" s="365"/>
      <c r="D441" s="366"/>
      <c r="E441" s="366"/>
      <c r="F441" s="367"/>
      <c r="G441" s="367"/>
      <c r="H441" s="366"/>
      <c r="I441" s="366"/>
      <c r="J441" s="368"/>
      <c r="K441" s="368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  <c r="AA441" s="341"/>
      <c r="AB441" s="341"/>
      <c r="AC441" s="341"/>
      <c r="AD441" s="341"/>
      <c r="AE441" s="341"/>
      <c r="AF441" s="341"/>
    </row>
    <row r="442" spans="1:32" ht="15">
      <c r="A442" s="341"/>
      <c r="B442" s="365"/>
      <c r="C442" s="365"/>
      <c r="D442" s="366"/>
      <c r="E442" s="366"/>
      <c r="F442" s="367"/>
      <c r="G442" s="367"/>
      <c r="H442" s="366"/>
      <c r="I442" s="366"/>
      <c r="J442" s="368"/>
      <c r="K442" s="368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  <c r="AA442" s="341"/>
      <c r="AB442" s="341"/>
      <c r="AC442" s="341"/>
      <c r="AD442" s="341"/>
      <c r="AE442" s="341"/>
      <c r="AF442" s="341"/>
    </row>
    <row r="443" spans="1:32" ht="15">
      <c r="A443" s="341"/>
      <c r="B443" s="365"/>
      <c r="C443" s="365"/>
      <c r="D443" s="366"/>
      <c r="E443" s="366"/>
      <c r="F443" s="367"/>
      <c r="G443" s="367"/>
      <c r="H443" s="366"/>
      <c r="I443" s="366"/>
      <c r="J443" s="368"/>
      <c r="K443" s="368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  <c r="AA443" s="341"/>
      <c r="AB443" s="341"/>
      <c r="AC443" s="341"/>
      <c r="AD443" s="341"/>
      <c r="AE443" s="341"/>
      <c r="AF443" s="341"/>
    </row>
    <row r="444" spans="1:32" ht="15">
      <c r="A444" s="341"/>
      <c r="B444" s="365"/>
      <c r="C444" s="365"/>
      <c r="D444" s="366"/>
      <c r="E444" s="366"/>
      <c r="F444" s="367"/>
      <c r="G444" s="367"/>
      <c r="H444" s="366"/>
      <c r="I444" s="366"/>
      <c r="J444" s="368"/>
      <c r="K444" s="368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  <c r="AA444" s="341"/>
      <c r="AB444" s="341"/>
      <c r="AC444" s="341"/>
      <c r="AD444" s="341"/>
      <c r="AE444" s="341"/>
      <c r="AF444" s="341"/>
    </row>
    <row r="445" spans="1:32" ht="15">
      <c r="A445" s="341"/>
      <c r="B445" s="365"/>
      <c r="C445" s="365"/>
      <c r="D445" s="366"/>
      <c r="E445" s="366"/>
      <c r="F445" s="367"/>
      <c r="G445" s="367"/>
      <c r="H445" s="366"/>
      <c r="I445" s="366"/>
      <c r="J445" s="368"/>
      <c r="K445" s="368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  <c r="AA445" s="341"/>
      <c r="AB445" s="341"/>
      <c r="AC445" s="341"/>
      <c r="AD445" s="341"/>
      <c r="AE445" s="341"/>
      <c r="AF445" s="341"/>
    </row>
    <row r="446" spans="1:32" ht="15">
      <c r="A446" s="341"/>
      <c r="B446" s="365"/>
      <c r="C446" s="365"/>
      <c r="D446" s="366"/>
      <c r="E446" s="366"/>
      <c r="F446" s="367"/>
      <c r="G446" s="367"/>
      <c r="H446" s="366"/>
      <c r="I446" s="366"/>
      <c r="J446" s="368"/>
      <c r="K446" s="368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  <c r="AA446" s="341"/>
      <c r="AB446" s="341"/>
      <c r="AC446" s="341"/>
      <c r="AD446" s="341"/>
      <c r="AE446" s="341"/>
      <c r="AF446" s="341"/>
    </row>
    <row r="447" spans="1:32" ht="15">
      <c r="A447" s="341"/>
      <c r="B447" s="365"/>
      <c r="C447" s="365"/>
      <c r="D447" s="366"/>
      <c r="E447" s="366"/>
      <c r="F447" s="367"/>
      <c r="G447" s="367"/>
      <c r="H447" s="366"/>
      <c r="I447" s="366"/>
      <c r="J447" s="368"/>
      <c r="K447" s="368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  <c r="AA447" s="341"/>
      <c r="AB447" s="341"/>
      <c r="AC447" s="341"/>
      <c r="AD447" s="341"/>
      <c r="AE447" s="341"/>
      <c r="AF447" s="341"/>
    </row>
    <row r="448" spans="1:32" ht="15">
      <c r="A448" s="341"/>
      <c r="B448" s="365"/>
      <c r="C448" s="365"/>
      <c r="D448" s="366"/>
      <c r="E448" s="366"/>
      <c r="F448" s="367"/>
      <c r="G448" s="367"/>
      <c r="H448" s="366"/>
      <c r="I448" s="366"/>
      <c r="J448" s="368"/>
      <c r="K448" s="368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  <c r="AA448" s="341"/>
      <c r="AB448" s="341"/>
      <c r="AC448" s="341"/>
      <c r="AD448" s="341"/>
      <c r="AE448" s="341"/>
      <c r="AF448" s="341"/>
    </row>
    <row r="449" spans="1:32" ht="15">
      <c r="A449" s="341"/>
      <c r="B449" s="365"/>
      <c r="C449" s="365"/>
      <c r="D449" s="366"/>
      <c r="E449" s="366"/>
      <c r="F449" s="367"/>
      <c r="G449" s="367"/>
      <c r="H449" s="366"/>
      <c r="I449" s="366"/>
      <c r="J449" s="368"/>
      <c r="K449" s="368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  <c r="AA449" s="341"/>
      <c r="AB449" s="341"/>
      <c r="AC449" s="341"/>
      <c r="AD449" s="341"/>
      <c r="AE449" s="341"/>
      <c r="AF449" s="341"/>
    </row>
    <row r="450" spans="1:32" ht="15">
      <c r="A450" s="341"/>
      <c r="B450" s="365"/>
      <c r="C450" s="365"/>
      <c r="D450" s="366"/>
      <c r="E450" s="366"/>
      <c r="F450" s="367"/>
      <c r="G450" s="367"/>
      <c r="H450" s="366"/>
      <c r="I450" s="366"/>
      <c r="J450" s="368"/>
      <c r="K450" s="368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  <c r="AA450" s="341"/>
      <c r="AB450" s="341"/>
      <c r="AC450" s="341"/>
      <c r="AD450" s="341"/>
      <c r="AE450" s="341"/>
      <c r="AF450" s="341"/>
    </row>
    <row r="451" spans="1:32" ht="15">
      <c r="A451" s="341"/>
      <c r="B451" s="365"/>
      <c r="C451" s="365"/>
      <c r="D451" s="366"/>
      <c r="E451" s="366"/>
      <c r="F451" s="367"/>
      <c r="G451" s="367"/>
      <c r="H451" s="366"/>
      <c r="I451" s="366"/>
      <c r="J451" s="368"/>
      <c r="K451" s="368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  <c r="AA451" s="341"/>
      <c r="AB451" s="341"/>
      <c r="AC451" s="341"/>
      <c r="AD451" s="341"/>
      <c r="AE451" s="341"/>
      <c r="AF451" s="341"/>
    </row>
    <row r="452" spans="1:32" ht="15">
      <c r="A452" s="341"/>
      <c r="B452" s="365"/>
      <c r="C452" s="365"/>
      <c r="D452" s="366"/>
      <c r="E452" s="366"/>
      <c r="F452" s="367"/>
      <c r="G452" s="367"/>
      <c r="H452" s="366"/>
      <c r="I452" s="366"/>
      <c r="J452" s="368"/>
      <c r="K452" s="368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  <c r="AA452" s="341"/>
      <c r="AB452" s="341"/>
      <c r="AC452" s="341"/>
      <c r="AD452" s="341"/>
      <c r="AE452" s="341"/>
      <c r="AF452" s="341"/>
    </row>
    <row r="453" spans="1:32" ht="15">
      <c r="A453" s="341"/>
      <c r="B453" s="365"/>
      <c r="C453" s="365"/>
      <c r="D453" s="366"/>
      <c r="E453" s="366"/>
      <c r="F453" s="367"/>
      <c r="G453" s="367"/>
      <c r="H453" s="366"/>
      <c r="I453" s="366"/>
      <c r="J453" s="368"/>
      <c r="K453" s="368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  <c r="AA453" s="341"/>
      <c r="AB453" s="341"/>
      <c r="AC453" s="341"/>
      <c r="AD453" s="341"/>
      <c r="AE453" s="341"/>
      <c r="AF453" s="341"/>
    </row>
    <row r="454" spans="1:32" ht="15">
      <c r="A454" s="341"/>
      <c r="B454" s="365"/>
      <c r="C454" s="365"/>
      <c r="D454" s="366"/>
      <c r="E454" s="366"/>
      <c r="F454" s="367"/>
      <c r="G454" s="367"/>
      <c r="H454" s="366"/>
      <c r="I454" s="366"/>
      <c r="J454" s="368"/>
      <c r="K454" s="368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  <c r="AA454" s="341"/>
      <c r="AB454" s="341"/>
      <c r="AC454" s="341"/>
      <c r="AD454" s="341"/>
      <c r="AE454" s="341"/>
      <c r="AF454" s="341"/>
    </row>
    <row r="455" spans="1:32" ht="15">
      <c r="A455" s="341"/>
      <c r="B455" s="365"/>
      <c r="C455" s="365"/>
      <c r="D455" s="366"/>
      <c r="E455" s="366"/>
      <c r="F455" s="367"/>
      <c r="G455" s="367"/>
      <c r="H455" s="366"/>
      <c r="I455" s="366"/>
      <c r="J455" s="368"/>
      <c r="K455" s="368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  <c r="AA455" s="341"/>
      <c r="AB455" s="341"/>
      <c r="AC455" s="341"/>
      <c r="AD455" s="341"/>
      <c r="AE455" s="341"/>
      <c r="AF455" s="341"/>
    </row>
    <row r="456" spans="1:32" ht="15">
      <c r="A456" s="341"/>
      <c r="B456" s="365"/>
      <c r="C456" s="365"/>
      <c r="D456" s="366"/>
      <c r="E456" s="366"/>
      <c r="F456" s="367"/>
      <c r="G456" s="367"/>
      <c r="H456" s="366"/>
      <c r="I456" s="366"/>
      <c r="J456" s="368"/>
      <c r="K456" s="368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  <c r="AA456" s="341"/>
      <c r="AB456" s="341"/>
      <c r="AC456" s="341"/>
      <c r="AD456" s="341"/>
      <c r="AE456" s="341"/>
      <c r="AF456" s="341"/>
    </row>
    <row r="457" spans="1:32" ht="15">
      <c r="A457" s="341"/>
      <c r="B457" s="365"/>
      <c r="C457" s="365"/>
      <c r="D457" s="366"/>
      <c r="E457" s="366"/>
      <c r="F457" s="367"/>
      <c r="G457" s="367"/>
      <c r="H457" s="366"/>
      <c r="I457" s="366"/>
      <c r="J457" s="368"/>
      <c r="K457" s="368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  <c r="AA457" s="341"/>
      <c r="AB457" s="341"/>
      <c r="AC457" s="341"/>
      <c r="AD457" s="341"/>
      <c r="AE457" s="341"/>
      <c r="AF457" s="341"/>
    </row>
    <row r="458" spans="1:32" ht="15">
      <c r="A458" s="341"/>
      <c r="B458" s="365"/>
      <c r="C458" s="365"/>
      <c r="D458" s="366"/>
      <c r="E458" s="366"/>
      <c r="F458" s="367"/>
      <c r="G458" s="367"/>
      <c r="H458" s="366"/>
      <c r="I458" s="366"/>
      <c r="J458" s="368"/>
      <c r="K458" s="368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  <c r="AA458" s="341"/>
      <c r="AB458" s="341"/>
      <c r="AC458" s="341"/>
      <c r="AD458" s="341"/>
      <c r="AE458" s="341"/>
      <c r="AF458" s="341"/>
    </row>
    <row r="459" spans="1:32" ht="15">
      <c r="A459" s="341"/>
      <c r="B459" s="365"/>
      <c r="C459" s="365"/>
      <c r="D459" s="366"/>
      <c r="E459" s="366"/>
      <c r="F459" s="367"/>
      <c r="G459" s="367"/>
      <c r="H459" s="366"/>
      <c r="I459" s="366"/>
      <c r="J459" s="368"/>
      <c r="K459" s="368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  <c r="AA459" s="341"/>
      <c r="AB459" s="341"/>
      <c r="AC459" s="341"/>
      <c r="AD459" s="341"/>
      <c r="AE459" s="341"/>
      <c r="AF459" s="341"/>
    </row>
    <row r="460" spans="1:32" ht="15">
      <c r="A460" s="341"/>
      <c r="B460" s="365"/>
      <c r="C460" s="365"/>
      <c r="D460" s="366"/>
      <c r="E460" s="366"/>
      <c r="F460" s="367"/>
      <c r="G460" s="367"/>
      <c r="H460" s="366"/>
      <c r="I460" s="366"/>
      <c r="J460" s="368"/>
      <c r="K460" s="368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  <c r="AA460" s="341"/>
      <c r="AB460" s="341"/>
      <c r="AC460" s="341"/>
      <c r="AD460" s="341"/>
      <c r="AE460" s="341"/>
      <c r="AF460" s="341"/>
    </row>
    <row r="461" spans="1:32" ht="15">
      <c r="A461" s="341"/>
      <c r="B461" s="365"/>
      <c r="C461" s="365"/>
      <c r="D461" s="366"/>
      <c r="E461" s="366"/>
      <c r="F461" s="367"/>
      <c r="G461" s="367"/>
      <c r="H461" s="366"/>
      <c r="I461" s="366"/>
      <c r="J461" s="368"/>
      <c r="K461" s="368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  <c r="AA461" s="341"/>
      <c r="AB461" s="341"/>
      <c r="AC461" s="341"/>
      <c r="AD461" s="341"/>
      <c r="AE461" s="341"/>
      <c r="AF461" s="341"/>
    </row>
    <row r="462" spans="1:32" ht="15">
      <c r="A462" s="341"/>
      <c r="B462" s="365"/>
      <c r="C462" s="365"/>
      <c r="D462" s="366"/>
      <c r="E462" s="366"/>
      <c r="F462" s="367"/>
      <c r="G462" s="367"/>
      <c r="H462" s="366"/>
      <c r="I462" s="366"/>
      <c r="J462" s="368"/>
      <c r="K462" s="368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  <c r="AA462" s="341"/>
      <c r="AB462" s="341"/>
      <c r="AC462" s="341"/>
      <c r="AD462" s="341"/>
      <c r="AE462" s="341"/>
      <c r="AF462" s="341"/>
    </row>
    <row r="463" spans="1:32" ht="15">
      <c r="A463" s="341"/>
      <c r="B463" s="365"/>
      <c r="C463" s="365"/>
      <c r="D463" s="366"/>
      <c r="E463" s="366"/>
      <c r="F463" s="367"/>
      <c r="G463" s="367"/>
      <c r="H463" s="366"/>
      <c r="I463" s="366"/>
      <c r="J463" s="368"/>
      <c r="K463" s="368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  <c r="AA463" s="341"/>
      <c r="AB463" s="341"/>
      <c r="AC463" s="341"/>
      <c r="AD463" s="341"/>
      <c r="AE463" s="341"/>
      <c r="AF463" s="341"/>
    </row>
    <row r="464" spans="1:32" ht="15">
      <c r="A464" s="341"/>
      <c r="B464" s="365"/>
      <c r="C464" s="365"/>
      <c r="D464" s="366"/>
      <c r="E464" s="366"/>
      <c r="F464" s="367"/>
      <c r="G464" s="367"/>
      <c r="H464" s="366"/>
      <c r="I464" s="366"/>
      <c r="J464" s="368"/>
      <c r="K464" s="368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  <c r="AA464" s="341"/>
      <c r="AB464" s="341"/>
      <c r="AC464" s="341"/>
      <c r="AD464" s="341"/>
      <c r="AE464" s="341"/>
      <c r="AF464" s="341"/>
    </row>
    <row r="465" spans="1:32" ht="15">
      <c r="A465" s="341"/>
      <c r="B465" s="365"/>
      <c r="C465" s="365"/>
      <c r="D465" s="366"/>
      <c r="E465" s="366"/>
      <c r="F465" s="367"/>
      <c r="G465" s="367"/>
      <c r="H465" s="366"/>
      <c r="I465" s="366"/>
      <c r="J465" s="368"/>
      <c r="K465" s="368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  <c r="AA465" s="341"/>
      <c r="AB465" s="341"/>
      <c r="AC465" s="341"/>
      <c r="AD465" s="341"/>
      <c r="AE465" s="341"/>
      <c r="AF465" s="341"/>
    </row>
    <row r="466" spans="1:32" ht="15">
      <c r="A466" s="341"/>
      <c r="B466" s="365"/>
      <c r="C466" s="365"/>
      <c r="D466" s="366"/>
      <c r="E466" s="366"/>
      <c r="F466" s="367"/>
      <c r="G466" s="367"/>
      <c r="H466" s="366"/>
      <c r="I466" s="366"/>
      <c r="J466" s="368"/>
      <c r="K466" s="368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  <c r="AA466" s="341"/>
      <c r="AB466" s="341"/>
      <c r="AC466" s="341"/>
      <c r="AD466" s="341"/>
      <c r="AE466" s="341"/>
      <c r="AF466" s="341"/>
    </row>
    <row r="467" spans="1:32" ht="15">
      <c r="A467" s="341"/>
      <c r="B467" s="365"/>
      <c r="C467" s="365"/>
      <c r="D467" s="366"/>
      <c r="E467" s="366"/>
      <c r="F467" s="367"/>
      <c r="G467" s="367"/>
      <c r="H467" s="366"/>
      <c r="I467" s="366"/>
      <c r="J467" s="368"/>
      <c r="K467" s="368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  <c r="AA467" s="341"/>
      <c r="AB467" s="341"/>
      <c r="AC467" s="341"/>
      <c r="AD467" s="341"/>
      <c r="AE467" s="341"/>
      <c r="AF467" s="341"/>
    </row>
    <row r="468" spans="1:32" ht="15">
      <c r="A468" s="341"/>
      <c r="B468" s="365"/>
      <c r="C468" s="365"/>
      <c r="D468" s="366"/>
      <c r="E468" s="366"/>
      <c r="F468" s="367"/>
      <c r="G468" s="367"/>
      <c r="H468" s="366"/>
      <c r="I468" s="366"/>
      <c r="J468" s="368"/>
      <c r="K468" s="368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  <c r="AA468" s="341"/>
      <c r="AB468" s="341"/>
      <c r="AC468" s="341"/>
      <c r="AD468" s="341"/>
      <c r="AE468" s="341"/>
      <c r="AF468" s="341"/>
    </row>
    <row r="469" spans="1:32" ht="15">
      <c r="A469" s="341"/>
      <c r="B469" s="365"/>
      <c r="C469" s="365"/>
      <c r="D469" s="366"/>
      <c r="E469" s="366"/>
      <c r="F469" s="367"/>
      <c r="G469" s="367"/>
      <c r="H469" s="366"/>
      <c r="I469" s="366"/>
      <c r="J469" s="368"/>
      <c r="K469" s="368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  <c r="AA469" s="341"/>
      <c r="AB469" s="341"/>
      <c r="AC469" s="341"/>
      <c r="AD469" s="341"/>
      <c r="AE469" s="341"/>
      <c r="AF469" s="341"/>
    </row>
    <row r="470" spans="1:32" ht="15">
      <c r="A470" s="341"/>
      <c r="B470" s="365"/>
      <c r="C470" s="365"/>
      <c r="D470" s="366"/>
      <c r="E470" s="366"/>
      <c r="F470" s="367"/>
      <c r="G470" s="367"/>
      <c r="H470" s="366"/>
      <c r="I470" s="366"/>
      <c r="J470" s="368"/>
      <c r="K470" s="368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  <c r="AA470" s="341"/>
      <c r="AB470" s="341"/>
      <c r="AC470" s="341"/>
      <c r="AD470" s="341"/>
      <c r="AE470" s="341"/>
      <c r="AF470" s="341"/>
    </row>
    <row r="471" spans="1:32" ht="15">
      <c r="A471" s="341"/>
      <c r="B471" s="365"/>
      <c r="C471" s="365"/>
      <c r="D471" s="366"/>
      <c r="E471" s="366"/>
      <c r="F471" s="367"/>
      <c r="G471" s="367"/>
      <c r="H471" s="366"/>
      <c r="I471" s="366"/>
      <c r="J471" s="368"/>
      <c r="K471" s="368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  <c r="AA471" s="341"/>
      <c r="AB471" s="341"/>
      <c r="AC471" s="341"/>
      <c r="AD471" s="341"/>
      <c r="AE471" s="341"/>
      <c r="AF471" s="341"/>
    </row>
    <row r="472" spans="1:32" ht="15">
      <c r="A472" s="341"/>
      <c r="B472" s="365"/>
      <c r="C472" s="365"/>
      <c r="D472" s="366"/>
      <c r="E472" s="366"/>
      <c r="F472" s="367"/>
      <c r="G472" s="367"/>
      <c r="H472" s="366"/>
      <c r="I472" s="366"/>
      <c r="J472" s="368"/>
      <c r="K472" s="368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  <c r="AA472" s="341"/>
      <c r="AB472" s="341"/>
      <c r="AC472" s="341"/>
      <c r="AD472" s="341"/>
      <c r="AE472" s="341"/>
      <c r="AF472" s="341"/>
    </row>
    <row r="473" spans="1:32" ht="15">
      <c r="A473" s="341"/>
      <c r="B473" s="365"/>
      <c r="C473" s="365"/>
      <c r="D473" s="366"/>
      <c r="E473" s="366"/>
      <c r="F473" s="367"/>
      <c r="G473" s="367"/>
      <c r="H473" s="366"/>
      <c r="I473" s="366"/>
      <c r="J473" s="368"/>
      <c r="K473" s="368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  <c r="AA473" s="341"/>
      <c r="AB473" s="341"/>
      <c r="AC473" s="341"/>
      <c r="AD473" s="341"/>
      <c r="AE473" s="341"/>
      <c r="AF473" s="341"/>
    </row>
    <row r="474" spans="1:32" ht="15">
      <c r="A474" s="341"/>
      <c r="B474" s="365"/>
      <c r="C474" s="365"/>
      <c r="D474" s="366"/>
      <c r="E474" s="366"/>
      <c r="F474" s="367"/>
      <c r="G474" s="367"/>
      <c r="H474" s="366"/>
      <c r="I474" s="366"/>
      <c r="J474" s="368"/>
      <c r="K474" s="368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  <c r="AA474" s="341"/>
      <c r="AB474" s="341"/>
      <c r="AC474" s="341"/>
      <c r="AD474" s="341"/>
      <c r="AE474" s="341"/>
      <c r="AF474" s="341"/>
    </row>
    <row r="475" spans="1:32" ht="15">
      <c r="A475" s="341"/>
      <c r="B475" s="365"/>
      <c r="C475" s="365"/>
      <c r="D475" s="366"/>
      <c r="E475" s="366"/>
      <c r="F475" s="367"/>
      <c r="G475" s="367"/>
      <c r="H475" s="366"/>
      <c r="I475" s="366"/>
      <c r="J475" s="368"/>
      <c r="K475" s="368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  <c r="AA475" s="341"/>
      <c r="AB475" s="341"/>
      <c r="AC475" s="341"/>
      <c r="AD475" s="341"/>
      <c r="AE475" s="341"/>
      <c r="AF475" s="341"/>
    </row>
    <row r="476" spans="1:32" ht="15">
      <c r="A476" s="341"/>
      <c r="B476" s="365"/>
      <c r="C476" s="365"/>
      <c r="D476" s="366"/>
      <c r="E476" s="366"/>
      <c r="F476" s="367"/>
      <c r="G476" s="367"/>
      <c r="H476" s="366"/>
      <c r="I476" s="366"/>
      <c r="J476" s="368"/>
      <c r="K476" s="368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  <c r="AA476" s="341"/>
      <c r="AB476" s="341"/>
      <c r="AC476" s="341"/>
      <c r="AD476" s="341"/>
      <c r="AE476" s="341"/>
      <c r="AF476" s="341"/>
    </row>
    <row r="477" spans="1:32" ht="15">
      <c r="A477" s="341"/>
      <c r="B477" s="365"/>
      <c r="C477" s="365"/>
      <c r="D477" s="366"/>
      <c r="E477" s="366"/>
      <c r="F477" s="367"/>
      <c r="G477" s="367"/>
      <c r="H477" s="366"/>
      <c r="I477" s="366"/>
      <c r="J477" s="368"/>
      <c r="K477" s="368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  <c r="AA477" s="341"/>
      <c r="AB477" s="341"/>
      <c r="AC477" s="341"/>
      <c r="AD477" s="341"/>
      <c r="AE477" s="341"/>
      <c r="AF477" s="341"/>
    </row>
    <row r="478" spans="1:32" ht="15">
      <c r="A478" s="341"/>
      <c r="B478" s="365"/>
      <c r="C478" s="365"/>
      <c r="D478" s="366"/>
      <c r="E478" s="366"/>
      <c r="F478" s="367"/>
      <c r="G478" s="367"/>
      <c r="H478" s="366"/>
      <c r="I478" s="366"/>
      <c r="J478" s="368"/>
      <c r="K478" s="368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  <c r="AA478" s="341"/>
      <c r="AB478" s="341"/>
      <c r="AC478" s="341"/>
      <c r="AD478" s="341"/>
      <c r="AE478" s="341"/>
      <c r="AF478" s="341"/>
    </row>
    <row r="479" spans="1:32" ht="15">
      <c r="A479" s="341"/>
      <c r="B479" s="365"/>
      <c r="C479" s="365"/>
      <c r="D479" s="366"/>
      <c r="E479" s="366"/>
      <c r="F479" s="367"/>
      <c r="G479" s="367"/>
      <c r="H479" s="366"/>
      <c r="I479" s="366"/>
      <c r="J479" s="368"/>
      <c r="K479" s="368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  <c r="AA479" s="341"/>
      <c r="AB479" s="341"/>
      <c r="AC479" s="341"/>
      <c r="AD479" s="341"/>
      <c r="AE479" s="341"/>
      <c r="AF479" s="341"/>
    </row>
    <row r="480" spans="1:32" ht="15">
      <c r="A480" s="341"/>
      <c r="B480" s="365"/>
      <c r="C480" s="365"/>
      <c r="D480" s="366"/>
      <c r="E480" s="366"/>
      <c r="F480" s="367"/>
      <c r="G480" s="367"/>
      <c r="H480" s="366"/>
      <c r="I480" s="366"/>
      <c r="J480" s="368"/>
      <c r="K480" s="368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  <c r="AA480" s="341"/>
      <c r="AB480" s="341"/>
      <c r="AC480" s="341"/>
      <c r="AD480" s="341"/>
      <c r="AE480" s="341"/>
      <c r="AF480" s="341"/>
    </row>
    <row r="481" spans="1:32" ht="15">
      <c r="A481" s="341"/>
      <c r="B481" s="365"/>
      <c r="C481" s="365"/>
      <c r="D481" s="366"/>
      <c r="E481" s="366"/>
      <c r="F481" s="367"/>
      <c r="G481" s="367"/>
      <c r="H481" s="366"/>
      <c r="I481" s="366"/>
      <c r="J481" s="368"/>
      <c r="K481" s="368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  <c r="AA481" s="341"/>
      <c r="AB481" s="341"/>
      <c r="AC481" s="341"/>
      <c r="AD481" s="341"/>
      <c r="AE481" s="341"/>
      <c r="AF481" s="341"/>
    </row>
    <row r="482" spans="1:32" ht="15">
      <c r="A482" s="341"/>
      <c r="B482" s="365"/>
      <c r="C482" s="365"/>
      <c r="D482" s="366"/>
      <c r="E482" s="366"/>
      <c r="F482" s="367"/>
      <c r="G482" s="367"/>
      <c r="H482" s="366"/>
      <c r="I482" s="366"/>
      <c r="J482" s="368"/>
      <c r="K482" s="368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  <c r="AA482" s="341"/>
      <c r="AB482" s="341"/>
      <c r="AC482" s="341"/>
      <c r="AD482" s="341"/>
      <c r="AE482" s="341"/>
      <c r="AF482" s="341"/>
    </row>
    <row r="483" spans="1:32" ht="15">
      <c r="A483" s="341"/>
      <c r="B483" s="365"/>
      <c r="C483" s="365"/>
      <c r="D483" s="366"/>
      <c r="E483" s="366"/>
      <c r="F483" s="367"/>
      <c r="G483" s="367"/>
      <c r="H483" s="366"/>
      <c r="I483" s="366"/>
      <c r="J483" s="368"/>
      <c r="K483" s="368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  <c r="AA483" s="341"/>
      <c r="AB483" s="341"/>
      <c r="AC483" s="341"/>
      <c r="AD483" s="341"/>
      <c r="AE483" s="341"/>
      <c r="AF483" s="341"/>
    </row>
    <row r="484" spans="1:32" ht="15">
      <c r="A484" s="341"/>
      <c r="B484" s="365"/>
      <c r="C484" s="365"/>
      <c r="D484" s="366"/>
      <c r="E484" s="366"/>
      <c r="F484" s="367"/>
      <c r="G484" s="367"/>
      <c r="H484" s="366"/>
      <c r="I484" s="366"/>
      <c r="J484" s="368"/>
      <c r="K484" s="368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  <c r="AA484" s="341"/>
      <c r="AB484" s="341"/>
      <c r="AC484" s="341"/>
      <c r="AD484" s="341"/>
      <c r="AE484" s="341"/>
      <c r="AF484" s="341"/>
    </row>
    <row r="485" spans="1:32" ht="15">
      <c r="A485" s="341"/>
      <c r="B485" s="365"/>
      <c r="C485" s="365"/>
      <c r="D485" s="366"/>
      <c r="E485" s="366"/>
      <c r="F485" s="367"/>
      <c r="G485" s="367"/>
      <c r="H485" s="366"/>
      <c r="I485" s="366"/>
      <c r="J485" s="368"/>
      <c r="K485" s="368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  <c r="AA485" s="341"/>
      <c r="AB485" s="341"/>
      <c r="AC485" s="341"/>
      <c r="AD485" s="341"/>
      <c r="AE485" s="341"/>
      <c r="AF485" s="341"/>
    </row>
    <row r="486" spans="1:32" ht="15">
      <c r="A486" s="341"/>
      <c r="B486" s="365"/>
      <c r="C486" s="365"/>
      <c r="D486" s="366"/>
      <c r="E486" s="366"/>
      <c r="F486" s="367"/>
      <c r="G486" s="367"/>
      <c r="H486" s="366"/>
      <c r="I486" s="366"/>
      <c r="J486" s="368"/>
      <c r="K486" s="368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  <c r="AA486" s="341"/>
      <c r="AB486" s="341"/>
      <c r="AC486" s="341"/>
      <c r="AD486" s="341"/>
      <c r="AE486" s="341"/>
      <c r="AF486" s="341"/>
    </row>
    <row r="487" spans="1:32" ht="15">
      <c r="A487" s="341"/>
      <c r="B487" s="365"/>
      <c r="C487" s="365"/>
      <c r="D487" s="366"/>
      <c r="E487" s="366"/>
      <c r="F487" s="367"/>
      <c r="G487" s="367"/>
      <c r="H487" s="366"/>
      <c r="I487" s="366"/>
      <c r="J487" s="368"/>
      <c r="K487" s="368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  <c r="AA487" s="341"/>
      <c r="AB487" s="341"/>
      <c r="AC487" s="341"/>
      <c r="AD487" s="341"/>
      <c r="AE487" s="341"/>
      <c r="AF487" s="341"/>
    </row>
    <row r="488" spans="1:32" ht="15">
      <c r="A488" s="341"/>
      <c r="B488" s="365"/>
      <c r="C488" s="365"/>
      <c r="D488" s="366"/>
      <c r="E488" s="366"/>
      <c r="F488" s="367"/>
      <c r="G488" s="367"/>
      <c r="H488" s="366"/>
      <c r="I488" s="366"/>
      <c r="J488" s="368"/>
      <c r="K488" s="368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  <c r="AA488" s="341"/>
      <c r="AB488" s="341"/>
      <c r="AC488" s="341"/>
      <c r="AD488" s="341"/>
      <c r="AE488" s="341"/>
      <c r="AF488" s="341"/>
    </row>
    <row r="489" spans="1:32" ht="15">
      <c r="A489" s="341"/>
      <c r="B489" s="365"/>
      <c r="C489" s="365"/>
      <c r="D489" s="366"/>
      <c r="E489" s="366"/>
      <c r="F489" s="367"/>
      <c r="G489" s="367"/>
      <c r="H489" s="366"/>
      <c r="I489" s="366"/>
      <c r="J489" s="368"/>
      <c r="K489" s="368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  <c r="AA489" s="341"/>
      <c r="AB489" s="341"/>
      <c r="AC489" s="341"/>
      <c r="AD489" s="341"/>
      <c r="AE489" s="341"/>
      <c r="AF489" s="341"/>
    </row>
    <row r="490" spans="1:32" ht="15">
      <c r="A490" s="341"/>
      <c r="B490" s="365"/>
      <c r="C490" s="365"/>
      <c r="D490" s="366"/>
      <c r="E490" s="366"/>
      <c r="F490" s="367"/>
      <c r="G490" s="367"/>
      <c r="H490" s="366"/>
      <c r="I490" s="366"/>
      <c r="J490" s="368"/>
      <c r="K490" s="368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  <c r="AA490" s="341"/>
      <c r="AB490" s="341"/>
      <c r="AC490" s="341"/>
      <c r="AD490" s="341"/>
      <c r="AE490" s="341"/>
      <c r="AF490" s="341"/>
    </row>
    <row r="491" spans="1:32" ht="15">
      <c r="A491" s="341"/>
      <c r="B491" s="365"/>
      <c r="C491" s="365"/>
      <c r="D491" s="366"/>
      <c r="E491" s="366"/>
      <c r="F491" s="367"/>
      <c r="G491" s="367"/>
      <c r="H491" s="366"/>
      <c r="I491" s="366"/>
      <c r="J491" s="368"/>
      <c r="K491" s="368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  <c r="AA491" s="341"/>
      <c r="AB491" s="341"/>
      <c r="AC491" s="341"/>
      <c r="AD491" s="341"/>
      <c r="AE491" s="341"/>
      <c r="AF491" s="341"/>
    </row>
    <row r="492" spans="1:32" ht="15">
      <c r="A492" s="341"/>
      <c r="B492" s="365"/>
      <c r="C492" s="365"/>
      <c r="D492" s="366"/>
      <c r="E492" s="366"/>
      <c r="F492" s="367"/>
      <c r="G492" s="367"/>
      <c r="H492" s="366"/>
      <c r="I492" s="366"/>
      <c r="J492" s="368"/>
      <c r="K492" s="368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  <c r="AA492" s="341"/>
      <c r="AB492" s="341"/>
      <c r="AC492" s="341"/>
      <c r="AD492" s="341"/>
      <c r="AE492" s="341"/>
      <c r="AF492" s="341"/>
    </row>
    <row r="493" spans="1:32" ht="15">
      <c r="A493" s="341"/>
      <c r="B493" s="365"/>
      <c r="C493" s="365"/>
      <c r="D493" s="366"/>
      <c r="E493" s="366"/>
      <c r="F493" s="367"/>
      <c r="G493" s="367"/>
      <c r="H493" s="366"/>
      <c r="I493" s="366"/>
      <c r="J493" s="368"/>
      <c r="K493" s="368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  <c r="AA493" s="341"/>
      <c r="AB493" s="341"/>
      <c r="AC493" s="341"/>
      <c r="AD493" s="341"/>
      <c r="AE493" s="341"/>
      <c r="AF493" s="341"/>
    </row>
    <row r="494" spans="1:32" ht="15">
      <c r="A494" s="341"/>
      <c r="B494" s="365"/>
      <c r="C494" s="365"/>
      <c r="D494" s="366"/>
      <c r="E494" s="366"/>
      <c r="F494" s="367"/>
      <c r="G494" s="367"/>
      <c r="H494" s="366"/>
      <c r="I494" s="366"/>
      <c r="J494" s="368"/>
      <c r="K494" s="368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  <c r="AA494" s="341"/>
      <c r="AB494" s="341"/>
      <c r="AC494" s="341"/>
      <c r="AD494" s="341"/>
      <c r="AE494" s="341"/>
      <c r="AF494" s="341"/>
    </row>
    <row r="495" spans="1:32" ht="15">
      <c r="A495" s="341"/>
      <c r="B495" s="365"/>
      <c r="C495" s="365"/>
      <c r="D495" s="366"/>
      <c r="E495" s="366"/>
      <c r="F495" s="367"/>
      <c r="G495" s="367"/>
      <c r="H495" s="366"/>
      <c r="I495" s="366"/>
      <c r="J495" s="368"/>
      <c r="K495" s="368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  <c r="AA495" s="341"/>
      <c r="AB495" s="341"/>
      <c r="AC495" s="341"/>
      <c r="AD495" s="341"/>
      <c r="AE495" s="341"/>
      <c r="AF495" s="341"/>
    </row>
    <row r="496" spans="1:32" ht="15">
      <c r="A496" s="341"/>
      <c r="B496" s="365"/>
      <c r="C496" s="365"/>
      <c r="D496" s="366"/>
      <c r="E496" s="366"/>
      <c r="F496" s="367"/>
      <c r="G496" s="367"/>
      <c r="H496" s="366"/>
      <c r="I496" s="366"/>
      <c r="J496" s="368"/>
      <c r="K496" s="368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  <c r="AA496" s="341"/>
      <c r="AB496" s="341"/>
      <c r="AC496" s="341"/>
      <c r="AD496" s="341"/>
      <c r="AE496" s="341"/>
      <c r="AF496" s="341"/>
    </row>
    <row r="497" spans="1:32" ht="15">
      <c r="A497" s="341"/>
      <c r="B497" s="365"/>
      <c r="C497" s="365"/>
      <c r="D497" s="366"/>
      <c r="E497" s="366"/>
      <c r="F497" s="367"/>
      <c r="G497" s="367"/>
      <c r="H497" s="366"/>
      <c r="I497" s="366"/>
      <c r="J497" s="368"/>
      <c r="K497" s="368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  <c r="AA497" s="341"/>
      <c r="AB497" s="341"/>
      <c r="AC497" s="341"/>
      <c r="AD497" s="341"/>
      <c r="AE497" s="341"/>
      <c r="AF497" s="341"/>
    </row>
    <row r="498" spans="1:32" ht="15">
      <c r="A498" s="341"/>
      <c r="B498" s="365"/>
      <c r="C498" s="365"/>
      <c r="D498" s="366"/>
      <c r="E498" s="366"/>
      <c r="F498" s="367"/>
      <c r="G498" s="367"/>
      <c r="H498" s="366"/>
      <c r="I498" s="366"/>
      <c r="J498" s="368"/>
      <c r="K498" s="368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  <c r="AA498" s="341"/>
      <c r="AB498" s="341"/>
      <c r="AC498" s="341"/>
      <c r="AD498" s="341"/>
      <c r="AE498" s="341"/>
      <c r="AF498" s="341"/>
    </row>
    <row r="499" spans="1:32" ht="15">
      <c r="A499" s="341"/>
      <c r="B499" s="365"/>
      <c r="C499" s="365"/>
      <c r="D499" s="366"/>
      <c r="E499" s="366"/>
      <c r="F499" s="367"/>
      <c r="G499" s="367"/>
      <c r="H499" s="366"/>
      <c r="I499" s="366"/>
      <c r="J499" s="368"/>
      <c r="K499" s="368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  <c r="AA499" s="341"/>
      <c r="AB499" s="341"/>
      <c r="AC499" s="341"/>
      <c r="AD499" s="341"/>
      <c r="AE499" s="341"/>
      <c r="AF499" s="341"/>
    </row>
    <row r="500" spans="1:32" ht="15">
      <c r="A500" s="341"/>
      <c r="B500" s="365"/>
      <c r="C500" s="365"/>
      <c r="D500" s="366"/>
      <c r="E500" s="366"/>
      <c r="F500" s="367"/>
      <c r="G500" s="367"/>
      <c r="H500" s="366"/>
      <c r="I500" s="366"/>
      <c r="J500" s="368"/>
      <c r="K500" s="368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  <c r="AA500" s="341"/>
      <c r="AB500" s="341"/>
      <c r="AC500" s="341"/>
      <c r="AD500" s="341"/>
      <c r="AE500" s="341"/>
      <c r="AF500" s="341"/>
    </row>
    <row r="501" spans="1:32" ht="15">
      <c r="A501" s="341"/>
      <c r="B501" s="365"/>
      <c r="C501" s="365"/>
      <c r="D501" s="366"/>
      <c r="E501" s="366"/>
      <c r="F501" s="367"/>
      <c r="G501" s="367"/>
      <c r="H501" s="366"/>
      <c r="I501" s="366"/>
      <c r="J501" s="368"/>
      <c r="K501" s="368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  <c r="AA501" s="341"/>
      <c r="AB501" s="341"/>
      <c r="AC501" s="341"/>
      <c r="AD501" s="341"/>
      <c r="AE501" s="341"/>
      <c r="AF501" s="341"/>
    </row>
    <row r="502" spans="1:32" ht="15">
      <c r="A502" s="341"/>
      <c r="B502" s="365"/>
      <c r="C502" s="365"/>
      <c r="D502" s="366"/>
      <c r="E502" s="366"/>
      <c r="F502" s="367"/>
      <c r="G502" s="367"/>
      <c r="H502" s="366"/>
      <c r="I502" s="366"/>
      <c r="J502" s="368"/>
      <c r="K502" s="368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  <c r="AA502" s="341"/>
      <c r="AB502" s="341"/>
      <c r="AC502" s="341"/>
      <c r="AD502" s="341"/>
      <c r="AE502" s="341"/>
      <c r="AF502" s="341"/>
    </row>
    <row r="503" spans="1:32" ht="15">
      <c r="A503" s="341"/>
      <c r="B503" s="365"/>
      <c r="C503" s="365"/>
      <c r="D503" s="366"/>
      <c r="E503" s="366"/>
      <c r="F503" s="367"/>
      <c r="G503" s="367"/>
      <c r="H503" s="366"/>
      <c r="I503" s="366"/>
      <c r="J503" s="368"/>
      <c r="K503" s="368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  <c r="AA503" s="341"/>
      <c r="AB503" s="341"/>
      <c r="AC503" s="341"/>
      <c r="AD503" s="341"/>
      <c r="AE503" s="341"/>
      <c r="AF503" s="341"/>
    </row>
    <row r="504" spans="1:32" ht="15">
      <c r="A504" s="341"/>
      <c r="B504" s="365"/>
      <c r="C504" s="365"/>
      <c r="D504" s="366"/>
      <c r="E504" s="366"/>
      <c r="F504" s="367"/>
      <c r="G504" s="367"/>
      <c r="H504" s="366"/>
      <c r="I504" s="366"/>
      <c r="J504" s="368"/>
      <c r="K504" s="368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  <c r="AA504" s="341"/>
      <c r="AB504" s="341"/>
      <c r="AC504" s="341"/>
      <c r="AD504" s="341"/>
      <c r="AE504" s="341"/>
      <c r="AF504" s="341"/>
    </row>
    <row r="505" spans="1:32" ht="15">
      <c r="A505" s="341"/>
      <c r="B505" s="365"/>
      <c r="C505" s="365"/>
      <c r="D505" s="366"/>
      <c r="E505" s="366"/>
      <c r="F505" s="367"/>
      <c r="G505" s="367"/>
      <c r="H505" s="366"/>
      <c r="I505" s="366"/>
      <c r="J505" s="368"/>
      <c r="K505" s="368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  <c r="AA505" s="341"/>
      <c r="AB505" s="341"/>
      <c r="AC505" s="341"/>
      <c r="AD505" s="341"/>
      <c r="AE505" s="341"/>
      <c r="AF505" s="341"/>
    </row>
    <row r="506" spans="1:32" ht="15">
      <c r="A506" s="341"/>
      <c r="B506" s="365"/>
      <c r="C506" s="365"/>
      <c r="D506" s="366"/>
      <c r="E506" s="366"/>
      <c r="F506" s="367"/>
      <c r="G506" s="367"/>
      <c r="H506" s="366"/>
      <c r="I506" s="366"/>
      <c r="J506" s="368"/>
      <c r="K506" s="368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  <c r="AA506" s="341"/>
      <c r="AB506" s="341"/>
      <c r="AC506" s="341"/>
      <c r="AD506" s="341"/>
      <c r="AE506" s="341"/>
      <c r="AF506" s="341"/>
    </row>
    <row r="507" spans="1:32" ht="15">
      <c r="A507" s="341"/>
      <c r="B507" s="365"/>
      <c r="C507" s="365"/>
      <c r="D507" s="366"/>
      <c r="E507" s="366"/>
      <c r="F507" s="367"/>
      <c r="G507" s="367"/>
      <c r="H507" s="366"/>
      <c r="I507" s="366"/>
      <c r="J507" s="368"/>
      <c r="K507" s="368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  <c r="AA507" s="341"/>
      <c r="AB507" s="341"/>
      <c r="AC507" s="341"/>
      <c r="AD507" s="341"/>
      <c r="AE507" s="341"/>
      <c r="AF507" s="341"/>
    </row>
    <row r="508" spans="1:32" ht="15">
      <c r="A508" s="341"/>
      <c r="B508" s="365"/>
      <c r="C508" s="365"/>
      <c r="D508" s="366"/>
      <c r="E508" s="366"/>
      <c r="F508" s="367"/>
      <c r="G508" s="367"/>
      <c r="H508" s="366"/>
      <c r="I508" s="366"/>
      <c r="J508" s="368"/>
      <c r="K508" s="368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  <c r="AA508" s="341"/>
      <c r="AB508" s="341"/>
      <c r="AC508" s="341"/>
      <c r="AD508" s="341"/>
      <c r="AE508" s="341"/>
      <c r="AF508" s="341"/>
    </row>
    <row r="509" spans="1:32" ht="15">
      <c r="A509" s="341"/>
      <c r="B509" s="365"/>
      <c r="C509" s="365"/>
      <c r="D509" s="366"/>
      <c r="E509" s="366"/>
      <c r="F509" s="367"/>
      <c r="G509" s="367"/>
      <c r="H509" s="366"/>
      <c r="I509" s="366"/>
      <c r="J509" s="368"/>
      <c r="K509" s="368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  <c r="AA509" s="341"/>
      <c r="AB509" s="341"/>
      <c r="AC509" s="341"/>
      <c r="AD509" s="341"/>
      <c r="AE509" s="341"/>
      <c r="AF509" s="341"/>
    </row>
    <row r="510" spans="1:32" ht="15">
      <c r="A510" s="341"/>
      <c r="B510" s="365"/>
      <c r="C510" s="365"/>
      <c r="D510" s="366"/>
      <c r="E510" s="366"/>
      <c r="F510" s="367"/>
      <c r="G510" s="367"/>
      <c r="H510" s="366"/>
      <c r="I510" s="366"/>
      <c r="J510" s="368"/>
      <c r="K510" s="368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  <c r="AA510" s="341"/>
      <c r="AB510" s="341"/>
      <c r="AC510" s="341"/>
      <c r="AD510" s="341"/>
      <c r="AE510" s="341"/>
      <c r="AF510" s="341"/>
    </row>
    <row r="511" spans="1:32" ht="15">
      <c r="A511" s="341"/>
      <c r="B511" s="365"/>
      <c r="C511" s="365"/>
      <c r="D511" s="366"/>
      <c r="E511" s="366"/>
      <c r="F511" s="367"/>
      <c r="G511" s="367"/>
      <c r="H511" s="366"/>
      <c r="I511" s="366"/>
      <c r="J511" s="368"/>
      <c r="K511" s="368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  <c r="AA511" s="341"/>
      <c r="AB511" s="341"/>
      <c r="AC511" s="341"/>
      <c r="AD511" s="341"/>
      <c r="AE511" s="341"/>
      <c r="AF511" s="341"/>
    </row>
    <row r="512" spans="1:32" ht="15">
      <c r="A512" s="341"/>
      <c r="B512" s="365"/>
      <c r="C512" s="365"/>
      <c r="D512" s="366"/>
      <c r="E512" s="366"/>
      <c r="F512" s="367"/>
      <c r="G512" s="367"/>
      <c r="H512" s="366"/>
      <c r="I512" s="366"/>
      <c r="J512" s="368"/>
      <c r="K512" s="368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  <c r="AA512" s="341"/>
      <c r="AB512" s="341"/>
      <c r="AC512" s="341"/>
      <c r="AD512" s="341"/>
      <c r="AE512" s="341"/>
      <c r="AF512" s="341"/>
    </row>
    <row r="513" spans="1:32" ht="15">
      <c r="A513" s="341"/>
      <c r="B513" s="365"/>
      <c r="C513" s="365"/>
      <c r="D513" s="366"/>
      <c r="E513" s="366"/>
      <c r="F513" s="367"/>
      <c r="G513" s="367"/>
      <c r="H513" s="366"/>
      <c r="I513" s="366"/>
      <c r="J513" s="368"/>
      <c r="K513" s="368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  <c r="AA513" s="341"/>
      <c r="AB513" s="341"/>
      <c r="AC513" s="341"/>
      <c r="AD513" s="341"/>
      <c r="AE513" s="341"/>
      <c r="AF513" s="341"/>
    </row>
    <row r="514" spans="1:32" ht="15">
      <c r="A514" s="341"/>
      <c r="B514" s="365"/>
      <c r="C514" s="365"/>
      <c r="D514" s="366"/>
      <c r="E514" s="366"/>
      <c r="F514" s="367"/>
      <c r="G514" s="367"/>
      <c r="H514" s="366"/>
      <c r="I514" s="366"/>
      <c r="J514" s="368"/>
      <c r="K514" s="368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  <c r="AA514" s="341"/>
      <c r="AB514" s="341"/>
      <c r="AC514" s="341"/>
      <c r="AD514" s="341"/>
      <c r="AE514" s="341"/>
      <c r="AF514" s="341"/>
    </row>
    <row r="515" spans="1:32" ht="15">
      <c r="A515" s="341"/>
      <c r="B515" s="365"/>
      <c r="C515" s="365"/>
      <c r="D515" s="366"/>
      <c r="E515" s="366"/>
      <c r="F515" s="367"/>
      <c r="G515" s="367"/>
      <c r="H515" s="366"/>
      <c r="I515" s="366"/>
      <c r="J515" s="368"/>
      <c r="K515" s="368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  <c r="AA515" s="341"/>
      <c r="AB515" s="341"/>
      <c r="AC515" s="341"/>
      <c r="AD515" s="341"/>
      <c r="AE515" s="341"/>
      <c r="AF515" s="341"/>
    </row>
    <row r="516" spans="1:32" ht="15">
      <c r="A516" s="341"/>
      <c r="B516" s="365"/>
      <c r="C516" s="365"/>
      <c r="D516" s="366"/>
      <c r="E516" s="366"/>
      <c r="F516" s="367"/>
      <c r="G516" s="367"/>
      <c r="H516" s="366"/>
      <c r="I516" s="366"/>
      <c r="J516" s="368"/>
      <c r="K516" s="368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  <c r="AA516" s="341"/>
      <c r="AB516" s="341"/>
      <c r="AC516" s="341"/>
      <c r="AD516" s="341"/>
      <c r="AE516" s="341"/>
      <c r="AF516" s="341"/>
    </row>
    <row r="517" spans="1:32" ht="15">
      <c r="A517" s="341"/>
      <c r="B517" s="365"/>
      <c r="C517" s="365"/>
      <c r="D517" s="366"/>
      <c r="E517" s="366"/>
      <c r="F517" s="367"/>
      <c r="G517" s="367"/>
      <c r="H517" s="366"/>
      <c r="I517" s="366"/>
      <c r="J517" s="368"/>
      <c r="K517" s="368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  <c r="AA517" s="341"/>
      <c r="AB517" s="341"/>
      <c r="AC517" s="341"/>
      <c r="AD517" s="341"/>
      <c r="AE517" s="341"/>
      <c r="AF517" s="341"/>
    </row>
    <row r="518" spans="1:32" ht="15">
      <c r="A518" s="341"/>
      <c r="B518" s="365"/>
      <c r="C518" s="365"/>
      <c r="D518" s="366"/>
      <c r="E518" s="366"/>
      <c r="F518" s="367"/>
      <c r="G518" s="367"/>
      <c r="H518" s="366"/>
      <c r="I518" s="366"/>
      <c r="J518" s="368"/>
      <c r="K518" s="368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  <c r="AA518" s="341"/>
      <c r="AB518" s="341"/>
      <c r="AC518" s="341"/>
      <c r="AD518" s="341"/>
      <c r="AE518" s="341"/>
      <c r="AF518" s="341"/>
    </row>
    <row r="519" spans="1:32" ht="15">
      <c r="A519" s="341"/>
      <c r="B519" s="365"/>
      <c r="C519" s="365"/>
      <c r="D519" s="366"/>
      <c r="E519" s="366"/>
      <c r="F519" s="367"/>
      <c r="G519" s="367"/>
      <c r="H519" s="366"/>
      <c r="I519" s="366"/>
      <c r="J519" s="368"/>
      <c r="K519" s="368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  <c r="AA519" s="341"/>
      <c r="AB519" s="341"/>
      <c r="AC519" s="341"/>
      <c r="AD519" s="341"/>
      <c r="AE519" s="341"/>
      <c r="AF519" s="341"/>
    </row>
    <row r="520" spans="1:32" ht="15">
      <c r="A520" s="341"/>
      <c r="B520" s="365"/>
      <c r="C520" s="365"/>
      <c r="D520" s="366"/>
      <c r="E520" s="366"/>
      <c r="F520" s="367"/>
      <c r="G520" s="367"/>
      <c r="H520" s="366"/>
      <c r="I520" s="366"/>
      <c r="J520" s="368"/>
      <c r="K520" s="368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  <c r="AA520" s="341"/>
      <c r="AB520" s="341"/>
      <c r="AC520" s="341"/>
      <c r="AD520" s="341"/>
      <c r="AE520" s="341"/>
      <c r="AF520" s="341"/>
    </row>
    <row r="521" spans="1:32" ht="15">
      <c r="A521" s="341"/>
      <c r="B521" s="365"/>
      <c r="C521" s="365"/>
      <c r="D521" s="366"/>
      <c r="E521" s="366"/>
      <c r="F521" s="367"/>
      <c r="G521" s="367"/>
      <c r="H521" s="366"/>
      <c r="I521" s="366"/>
      <c r="J521" s="368"/>
      <c r="K521" s="368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  <c r="AA521" s="341"/>
      <c r="AB521" s="341"/>
      <c r="AC521" s="341"/>
      <c r="AD521" s="341"/>
      <c r="AE521" s="341"/>
      <c r="AF521" s="341"/>
    </row>
    <row r="522" spans="1:32" ht="15">
      <c r="A522" s="341"/>
      <c r="B522" s="365"/>
      <c r="C522" s="365"/>
      <c r="D522" s="366"/>
      <c r="E522" s="366"/>
      <c r="F522" s="367"/>
      <c r="G522" s="367"/>
      <c r="H522" s="366"/>
      <c r="I522" s="366"/>
      <c r="J522" s="368"/>
      <c r="K522" s="368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  <c r="AA522" s="341"/>
      <c r="AB522" s="341"/>
      <c r="AC522" s="341"/>
      <c r="AD522" s="341"/>
      <c r="AE522" s="341"/>
      <c r="AF522" s="341"/>
    </row>
    <row r="523" spans="1:32" ht="15">
      <c r="A523" s="341"/>
      <c r="B523" s="365"/>
      <c r="C523" s="365"/>
      <c r="D523" s="366"/>
      <c r="E523" s="366"/>
      <c r="F523" s="367"/>
      <c r="G523" s="367"/>
      <c r="H523" s="366"/>
      <c r="I523" s="366"/>
      <c r="J523" s="368"/>
      <c r="K523" s="368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  <c r="AA523" s="341"/>
      <c r="AB523" s="341"/>
      <c r="AC523" s="341"/>
      <c r="AD523" s="341"/>
      <c r="AE523" s="341"/>
      <c r="AF523" s="341"/>
    </row>
    <row r="524" spans="1:32" ht="15">
      <c r="A524" s="341"/>
      <c r="B524" s="365"/>
      <c r="C524" s="365"/>
      <c r="D524" s="366"/>
      <c r="E524" s="366"/>
      <c r="F524" s="367"/>
      <c r="G524" s="367"/>
      <c r="H524" s="366"/>
      <c r="I524" s="366"/>
      <c r="J524" s="368"/>
      <c r="K524" s="368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  <c r="AA524" s="341"/>
      <c r="AB524" s="341"/>
      <c r="AC524" s="341"/>
      <c r="AD524" s="341"/>
      <c r="AE524" s="341"/>
      <c r="AF524" s="341"/>
    </row>
    <row r="525" spans="1:32" ht="15">
      <c r="A525" s="341"/>
      <c r="B525" s="365"/>
      <c r="C525" s="365"/>
      <c r="D525" s="366"/>
      <c r="E525" s="366"/>
      <c r="F525" s="367"/>
      <c r="G525" s="367"/>
      <c r="H525" s="366"/>
      <c r="I525" s="366"/>
      <c r="J525" s="368"/>
      <c r="K525" s="368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  <c r="AA525" s="341"/>
      <c r="AB525" s="341"/>
      <c r="AC525" s="341"/>
      <c r="AD525" s="341"/>
      <c r="AE525" s="341"/>
      <c r="AF525" s="341"/>
    </row>
    <row r="526" spans="1:32" ht="15">
      <c r="A526" s="341"/>
      <c r="B526" s="365"/>
      <c r="C526" s="365"/>
      <c r="D526" s="366"/>
      <c r="E526" s="366"/>
      <c r="F526" s="367"/>
      <c r="G526" s="367"/>
      <c r="H526" s="366"/>
      <c r="I526" s="366"/>
      <c r="J526" s="368"/>
      <c r="K526" s="368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  <c r="AA526" s="341"/>
      <c r="AB526" s="341"/>
      <c r="AC526" s="341"/>
      <c r="AD526" s="341"/>
      <c r="AE526" s="341"/>
      <c r="AF526" s="341"/>
    </row>
    <row r="527" spans="1:32" ht="15">
      <c r="A527" s="341"/>
      <c r="B527" s="365"/>
      <c r="C527" s="365"/>
      <c r="D527" s="366"/>
      <c r="E527" s="366"/>
      <c r="F527" s="367"/>
      <c r="G527" s="367"/>
      <c r="H527" s="366"/>
      <c r="I527" s="366"/>
      <c r="J527" s="368"/>
      <c r="K527" s="368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  <c r="AA527" s="341"/>
      <c r="AB527" s="341"/>
      <c r="AC527" s="341"/>
      <c r="AD527" s="341"/>
      <c r="AE527" s="341"/>
      <c r="AF527" s="341"/>
    </row>
    <row r="528" spans="1:32" ht="15">
      <c r="A528" s="341"/>
      <c r="B528" s="365"/>
      <c r="C528" s="365"/>
      <c r="D528" s="366"/>
      <c r="E528" s="366"/>
      <c r="F528" s="367"/>
      <c r="G528" s="367"/>
      <c r="H528" s="366"/>
      <c r="I528" s="366"/>
      <c r="J528" s="368"/>
      <c r="K528" s="368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  <c r="AA528" s="341"/>
      <c r="AB528" s="341"/>
      <c r="AC528" s="341"/>
      <c r="AD528" s="341"/>
      <c r="AE528" s="341"/>
      <c r="AF528" s="341"/>
    </row>
    <row r="529" spans="1:32" ht="15">
      <c r="A529" s="341"/>
      <c r="B529" s="365"/>
      <c r="C529" s="365"/>
      <c r="D529" s="366"/>
      <c r="E529" s="366"/>
      <c r="F529" s="367"/>
      <c r="G529" s="367"/>
      <c r="H529" s="366"/>
      <c r="I529" s="366"/>
      <c r="J529" s="368"/>
      <c r="K529" s="368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  <c r="AA529" s="341"/>
      <c r="AB529" s="341"/>
      <c r="AC529" s="341"/>
      <c r="AD529" s="341"/>
      <c r="AE529" s="341"/>
      <c r="AF529" s="341"/>
    </row>
    <row r="530" spans="1:32" ht="15">
      <c r="A530" s="341"/>
      <c r="B530" s="365"/>
      <c r="C530" s="365"/>
      <c r="D530" s="366"/>
      <c r="E530" s="366"/>
      <c r="F530" s="367"/>
      <c r="G530" s="367"/>
      <c r="H530" s="366"/>
      <c r="I530" s="366"/>
      <c r="J530" s="368"/>
      <c r="K530" s="368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  <c r="AA530" s="341"/>
      <c r="AB530" s="341"/>
      <c r="AC530" s="341"/>
      <c r="AD530" s="341"/>
      <c r="AE530" s="341"/>
      <c r="AF530" s="341"/>
    </row>
    <row r="531" spans="1:32" ht="15">
      <c r="A531" s="341"/>
      <c r="B531" s="365"/>
      <c r="C531" s="365"/>
      <c r="D531" s="366"/>
      <c r="E531" s="366"/>
      <c r="F531" s="367"/>
      <c r="G531" s="367"/>
      <c r="H531" s="366"/>
      <c r="I531" s="366"/>
      <c r="J531" s="368"/>
      <c r="K531" s="368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  <c r="AA531" s="341"/>
      <c r="AB531" s="341"/>
      <c r="AC531" s="341"/>
      <c r="AD531" s="341"/>
      <c r="AE531" s="341"/>
      <c r="AF531" s="341"/>
    </row>
    <row r="532" spans="1:32" ht="15">
      <c r="A532" s="341"/>
      <c r="B532" s="365"/>
      <c r="C532" s="365"/>
      <c r="D532" s="366"/>
      <c r="E532" s="366"/>
      <c r="F532" s="367"/>
      <c r="G532" s="367"/>
      <c r="H532" s="366"/>
      <c r="I532" s="366"/>
      <c r="J532" s="368"/>
      <c r="K532" s="368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  <c r="AA532" s="341"/>
      <c r="AB532" s="341"/>
      <c r="AC532" s="341"/>
      <c r="AD532" s="341"/>
      <c r="AE532" s="341"/>
      <c r="AF532" s="341"/>
    </row>
    <row r="533" spans="1:32" ht="15">
      <c r="A533" s="341"/>
      <c r="B533" s="365"/>
      <c r="C533" s="365"/>
      <c r="D533" s="366"/>
      <c r="E533" s="366"/>
      <c r="F533" s="367"/>
      <c r="G533" s="367"/>
      <c r="H533" s="366"/>
      <c r="I533" s="366"/>
      <c r="J533" s="368"/>
      <c r="K533" s="368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  <c r="AA533" s="341"/>
      <c r="AB533" s="341"/>
      <c r="AC533" s="341"/>
      <c r="AD533" s="341"/>
      <c r="AE533" s="341"/>
      <c r="AF533" s="341"/>
    </row>
    <row r="534" spans="1:32" ht="15">
      <c r="A534" s="341"/>
      <c r="B534" s="365"/>
      <c r="C534" s="365"/>
      <c r="D534" s="366"/>
      <c r="E534" s="366"/>
      <c r="F534" s="367"/>
      <c r="G534" s="367"/>
      <c r="H534" s="366"/>
      <c r="I534" s="366"/>
      <c r="J534" s="368"/>
      <c r="K534" s="368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  <c r="AA534" s="341"/>
      <c r="AB534" s="341"/>
      <c r="AC534" s="341"/>
      <c r="AD534" s="341"/>
      <c r="AE534" s="341"/>
      <c r="AF534" s="341"/>
    </row>
    <row r="535" spans="1:32" ht="15">
      <c r="A535" s="341"/>
      <c r="B535" s="365"/>
      <c r="C535" s="365"/>
      <c r="D535" s="366"/>
      <c r="E535" s="366"/>
      <c r="F535" s="367"/>
      <c r="G535" s="367"/>
      <c r="H535" s="366"/>
      <c r="I535" s="366"/>
      <c r="J535" s="368"/>
      <c r="K535" s="368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  <c r="AA535" s="341"/>
      <c r="AB535" s="341"/>
      <c r="AC535" s="341"/>
      <c r="AD535" s="341"/>
      <c r="AE535" s="341"/>
      <c r="AF535" s="341"/>
    </row>
    <row r="536" spans="1:32" ht="15">
      <c r="A536" s="341"/>
      <c r="B536" s="365"/>
      <c r="C536" s="365"/>
      <c r="D536" s="366"/>
      <c r="E536" s="366"/>
      <c r="F536" s="367"/>
      <c r="G536" s="367"/>
      <c r="H536" s="366"/>
      <c r="I536" s="366"/>
      <c r="J536" s="368"/>
      <c r="K536" s="368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  <c r="AA536" s="341"/>
      <c r="AB536" s="341"/>
      <c r="AC536" s="341"/>
      <c r="AD536" s="341"/>
      <c r="AE536" s="341"/>
      <c r="AF536" s="341"/>
    </row>
    <row r="537" spans="1:32" ht="15">
      <c r="A537" s="341"/>
      <c r="B537" s="365"/>
      <c r="C537" s="365"/>
      <c r="D537" s="366"/>
      <c r="E537" s="366"/>
      <c r="F537" s="367"/>
      <c r="G537" s="367"/>
      <c r="H537" s="366"/>
      <c r="I537" s="366"/>
      <c r="J537" s="368"/>
      <c r="K537" s="368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  <c r="AA537" s="341"/>
      <c r="AB537" s="341"/>
      <c r="AC537" s="341"/>
      <c r="AD537" s="341"/>
      <c r="AE537" s="341"/>
      <c r="AF537" s="341"/>
    </row>
    <row r="538" spans="1:32" ht="15">
      <c r="A538" s="341"/>
      <c r="B538" s="365"/>
      <c r="C538" s="365"/>
      <c r="D538" s="366"/>
      <c r="E538" s="366"/>
      <c r="F538" s="367"/>
      <c r="G538" s="367"/>
      <c r="H538" s="366"/>
      <c r="I538" s="366"/>
      <c r="J538" s="368"/>
      <c r="K538" s="368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  <c r="AA538" s="341"/>
      <c r="AB538" s="341"/>
      <c r="AC538" s="341"/>
      <c r="AD538" s="341"/>
      <c r="AE538" s="341"/>
      <c r="AF538" s="341"/>
    </row>
    <row r="539" spans="1:32" ht="15">
      <c r="A539" s="341"/>
      <c r="B539" s="365"/>
      <c r="C539" s="365"/>
      <c r="D539" s="366"/>
      <c r="E539" s="366"/>
      <c r="F539" s="367"/>
      <c r="G539" s="367"/>
      <c r="H539" s="366"/>
      <c r="I539" s="366"/>
      <c r="J539" s="368"/>
      <c r="K539" s="368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  <c r="AA539" s="341"/>
      <c r="AB539" s="341"/>
      <c r="AC539" s="341"/>
      <c r="AD539" s="341"/>
      <c r="AE539" s="341"/>
      <c r="AF539" s="341"/>
    </row>
    <row r="540" spans="1:32" ht="15">
      <c r="A540" s="341"/>
      <c r="B540" s="365"/>
      <c r="C540" s="365"/>
      <c r="D540" s="366"/>
      <c r="E540" s="366"/>
      <c r="F540" s="367"/>
      <c r="G540" s="367"/>
      <c r="H540" s="366"/>
      <c r="I540" s="366"/>
      <c r="J540" s="368"/>
      <c r="K540" s="368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  <c r="AA540" s="341"/>
      <c r="AB540" s="341"/>
      <c r="AC540" s="341"/>
      <c r="AD540" s="341"/>
      <c r="AE540" s="341"/>
      <c r="AF540" s="341"/>
    </row>
    <row r="541" spans="1:32" ht="15">
      <c r="A541" s="341"/>
      <c r="B541" s="365"/>
      <c r="C541" s="365"/>
      <c r="D541" s="366"/>
      <c r="E541" s="366"/>
      <c r="F541" s="367"/>
      <c r="G541" s="367"/>
      <c r="H541" s="366"/>
      <c r="I541" s="366"/>
      <c r="J541" s="368"/>
      <c r="K541" s="368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  <c r="AA541" s="341"/>
      <c r="AB541" s="341"/>
      <c r="AC541" s="341"/>
      <c r="AD541" s="341"/>
      <c r="AE541" s="341"/>
      <c r="AF541" s="341"/>
    </row>
    <row r="542" spans="1:32" ht="15">
      <c r="A542" s="341"/>
      <c r="B542" s="365"/>
      <c r="C542" s="365"/>
      <c r="D542" s="366"/>
      <c r="E542" s="366"/>
      <c r="F542" s="367"/>
      <c r="G542" s="367"/>
      <c r="H542" s="366"/>
      <c r="I542" s="366"/>
      <c r="J542" s="368"/>
      <c r="K542" s="368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  <c r="AA542" s="341"/>
      <c r="AB542" s="341"/>
      <c r="AC542" s="341"/>
      <c r="AD542" s="341"/>
      <c r="AE542" s="341"/>
      <c r="AF542" s="341"/>
    </row>
    <row r="543" spans="1:32" ht="15">
      <c r="A543" s="341"/>
      <c r="B543" s="365"/>
      <c r="C543" s="365"/>
      <c r="D543" s="366"/>
      <c r="E543" s="366"/>
      <c r="F543" s="367"/>
      <c r="G543" s="367"/>
      <c r="H543" s="366"/>
      <c r="I543" s="366"/>
      <c r="J543" s="368"/>
      <c r="K543" s="368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  <c r="AA543" s="341"/>
      <c r="AB543" s="341"/>
      <c r="AC543" s="341"/>
      <c r="AD543" s="341"/>
      <c r="AE543" s="341"/>
      <c r="AF543" s="341"/>
    </row>
    <row r="544" spans="1:32" ht="15">
      <c r="A544" s="341"/>
      <c r="B544" s="365"/>
      <c r="C544" s="365"/>
      <c r="D544" s="366"/>
      <c r="E544" s="366"/>
      <c r="F544" s="367"/>
      <c r="G544" s="367"/>
      <c r="H544" s="366"/>
      <c r="I544" s="366"/>
      <c r="J544" s="368"/>
      <c r="K544" s="368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  <c r="AA544" s="341"/>
      <c r="AB544" s="341"/>
      <c r="AC544" s="341"/>
      <c r="AD544" s="341"/>
      <c r="AE544" s="341"/>
      <c r="AF544" s="341"/>
    </row>
    <row r="545" spans="1:32" ht="15">
      <c r="A545" s="341"/>
      <c r="B545" s="365"/>
      <c r="C545" s="365"/>
      <c r="D545" s="366"/>
      <c r="E545" s="366"/>
      <c r="F545" s="367"/>
      <c r="G545" s="367"/>
      <c r="H545" s="366"/>
      <c r="I545" s="366"/>
      <c r="J545" s="368"/>
      <c r="K545" s="368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  <c r="AA545" s="341"/>
      <c r="AB545" s="341"/>
      <c r="AC545" s="341"/>
      <c r="AD545" s="341"/>
      <c r="AE545" s="341"/>
      <c r="AF545" s="341"/>
    </row>
    <row r="546" spans="1:32" ht="15">
      <c r="A546" s="341"/>
      <c r="B546" s="365"/>
      <c r="C546" s="365"/>
      <c r="D546" s="366"/>
      <c r="E546" s="366"/>
      <c r="F546" s="367"/>
      <c r="G546" s="367"/>
      <c r="H546" s="366"/>
      <c r="I546" s="366"/>
      <c r="J546" s="368"/>
      <c r="K546" s="368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  <c r="AA546" s="341"/>
      <c r="AB546" s="341"/>
      <c r="AC546" s="341"/>
      <c r="AD546" s="341"/>
      <c r="AE546" s="341"/>
      <c r="AF546" s="341"/>
    </row>
    <row r="547" spans="1:32" ht="15">
      <c r="A547" s="341"/>
      <c r="B547" s="365"/>
      <c r="C547" s="365"/>
      <c r="D547" s="366"/>
      <c r="E547" s="366"/>
      <c r="F547" s="367"/>
      <c r="G547" s="367"/>
      <c r="H547" s="366"/>
      <c r="I547" s="366"/>
      <c r="J547" s="368"/>
      <c r="K547" s="368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  <c r="AA547" s="341"/>
      <c r="AB547" s="341"/>
      <c r="AC547" s="341"/>
      <c r="AD547" s="341"/>
      <c r="AE547" s="341"/>
      <c r="AF547" s="341"/>
    </row>
    <row r="548" spans="1:32" ht="15">
      <c r="A548" s="341"/>
      <c r="B548" s="365"/>
      <c r="C548" s="365"/>
      <c r="D548" s="366"/>
      <c r="E548" s="366"/>
      <c r="F548" s="367"/>
      <c r="G548" s="367"/>
      <c r="H548" s="366"/>
      <c r="I548" s="366"/>
      <c r="J548" s="368"/>
      <c r="K548" s="368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  <c r="AA548" s="341"/>
      <c r="AB548" s="341"/>
      <c r="AC548" s="341"/>
      <c r="AD548" s="341"/>
      <c r="AE548" s="341"/>
      <c r="AF548" s="341"/>
    </row>
    <row r="549" spans="1:32" ht="15">
      <c r="A549" s="341"/>
      <c r="B549" s="365"/>
      <c r="C549" s="365"/>
      <c r="D549" s="366"/>
      <c r="E549" s="366"/>
      <c r="F549" s="367"/>
      <c r="G549" s="367"/>
      <c r="H549" s="366"/>
      <c r="I549" s="366"/>
      <c r="J549" s="368"/>
      <c r="K549" s="368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  <c r="AA549" s="341"/>
      <c r="AB549" s="341"/>
      <c r="AC549" s="341"/>
      <c r="AD549" s="341"/>
      <c r="AE549" s="341"/>
      <c r="AF549" s="341"/>
    </row>
    <row r="550" spans="1:32" ht="15">
      <c r="A550" s="341"/>
      <c r="B550" s="365"/>
      <c r="C550" s="365"/>
      <c r="D550" s="366"/>
      <c r="E550" s="366"/>
      <c r="F550" s="367"/>
      <c r="G550" s="367"/>
      <c r="H550" s="366"/>
      <c r="I550" s="366"/>
      <c r="J550" s="368"/>
      <c r="K550" s="368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  <c r="AA550" s="341"/>
      <c r="AB550" s="341"/>
      <c r="AC550" s="341"/>
      <c r="AD550" s="341"/>
      <c r="AE550" s="341"/>
      <c r="AF550" s="341"/>
    </row>
    <row r="551" spans="1:32" ht="15">
      <c r="A551" s="341"/>
      <c r="B551" s="365"/>
      <c r="C551" s="365"/>
      <c r="D551" s="366"/>
      <c r="E551" s="366"/>
      <c r="F551" s="367"/>
      <c r="G551" s="367"/>
      <c r="H551" s="366"/>
      <c r="I551" s="366"/>
      <c r="J551" s="368"/>
      <c r="K551" s="368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  <c r="AA551" s="341"/>
      <c r="AB551" s="341"/>
      <c r="AC551" s="341"/>
      <c r="AD551" s="341"/>
      <c r="AE551" s="341"/>
      <c r="AF551" s="341"/>
    </row>
    <row r="552" spans="1:32" ht="15">
      <c r="A552" s="341"/>
      <c r="B552" s="365"/>
      <c r="C552" s="365"/>
      <c r="D552" s="366"/>
      <c r="E552" s="366"/>
      <c r="F552" s="367"/>
      <c r="G552" s="367"/>
      <c r="H552" s="366"/>
      <c r="I552" s="366"/>
      <c r="J552" s="368"/>
      <c r="K552" s="368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  <c r="AA552" s="341"/>
      <c r="AB552" s="341"/>
      <c r="AC552" s="341"/>
      <c r="AD552" s="341"/>
      <c r="AE552" s="341"/>
      <c r="AF552" s="341"/>
    </row>
    <row r="553" spans="1:32" ht="15">
      <c r="A553" s="341"/>
      <c r="B553" s="365"/>
      <c r="C553" s="365"/>
      <c r="D553" s="366"/>
      <c r="E553" s="366"/>
      <c r="F553" s="367"/>
      <c r="G553" s="367"/>
      <c r="H553" s="366"/>
      <c r="I553" s="366"/>
      <c r="J553" s="368"/>
      <c r="K553" s="368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  <c r="AA553" s="341"/>
      <c r="AB553" s="341"/>
      <c r="AC553" s="341"/>
      <c r="AD553" s="341"/>
      <c r="AE553" s="341"/>
      <c r="AF553" s="341"/>
    </row>
    <row r="554" spans="1:32" ht="15">
      <c r="A554" s="341"/>
      <c r="B554" s="365"/>
      <c r="C554" s="365"/>
      <c r="D554" s="366"/>
      <c r="E554" s="366"/>
      <c r="F554" s="367"/>
      <c r="G554" s="367"/>
      <c r="H554" s="366"/>
      <c r="I554" s="366"/>
      <c r="J554" s="368"/>
      <c r="K554" s="368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  <c r="AA554" s="341"/>
      <c r="AB554" s="341"/>
      <c r="AC554" s="341"/>
      <c r="AD554" s="341"/>
      <c r="AE554" s="341"/>
      <c r="AF554" s="341"/>
    </row>
    <row r="555" spans="1:32" ht="15">
      <c r="A555" s="341"/>
      <c r="B555" s="365"/>
      <c r="C555" s="365"/>
      <c r="D555" s="366"/>
      <c r="E555" s="366"/>
      <c r="F555" s="367"/>
      <c r="G555" s="367"/>
      <c r="H555" s="366"/>
      <c r="I555" s="366"/>
      <c r="J555" s="368"/>
      <c r="K555" s="368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  <c r="AA555" s="341"/>
      <c r="AB555" s="341"/>
      <c r="AC555" s="341"/>
      <c r="AD555" s="341"/>
      <c r="AE555" s="341"/>
      <c r="AF555" s="341"/>
    </row>
    <row r="556" spans="1:32" ht="15">
      <c r="A556" s="341"/>
      <c r="B556" s="365"/>
      <c r="C556" s="365"/>
      <c r="D556" s="366"/>
      <c r="E556" s="366"/>
      <c r="F556" s="367"/>
      <c r="G556" s="367"/>
      <c r="H556" s="366"/>
      <c r="I556" s="366"/>
      <c r="J556" s="368"/>
      <c r="K556" s="368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  <c r="AA556" s="341"/>
      <c r="AB556" s="341"/>
      <c r="AC556" s="341"/>
      <c r="AD556" s="341"/>
      <c r="AE556" s="341"/>
      <c r="AF556" s="341"/>
    </row>
    <row r="557" spans="1:32" ht="15">
      <c r="A557" s="341"/>
      <c r="B557" s="365"/>
      <c r="C557" s="365"/>
      <c r="D557" s="366"/>
      <c r="E557" s="366"/>
      <c r="F557" s="367"/>
      <c r="G557" s="367"/>
      <c r="H557" s="366"/>
      <c r="I557" s="366"/>
      <c r="J557" s="368"/>
      <c r="K557" s="368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  <c r="AA557" s="341"/>
      <c r="AB557" s="341"/>
      <c r="AC557" s="341"/>
      <c r="AD557" s="341"/>
      <c r="AE557" s="341"/>
      <c r="AF557" s="341"/>
    </row>
    <row r="558" spans="1:32" ht="15">
      <c r="A558" s="341"/>
      <c r="B558" s="365"/>
      <c r="C558" s="365"/>
      <c r="D558" s="366"/>
      <c r="E558" s="366"/>
      <c r="F558" s="367"/>
      <c r="G558" s="367"/>
      <c r="H558" s="366"/>
      <c r="I558" s="366"/>
      <c r="J558" s="368"/>
      <c r="K558" s="368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  <c r="AA558" s="341"/>
      <c r="AB558" s="341"/>
      <c r="AC558" s="341"/>
      <c r="AD558" s="341"/>
      <c r="AE558" s="341"/>
      <c r="AF558" s="341"/>
    </row>
    <row r="559" spans="1:32" ht="15">
      <c r="A559" s="341"/>
      <c r="B559" s="365"/>
      <c r="C559" s="365"/>
      <c r="D559" s="366"/>
      <c r="E559" s="366"/>
      <c r="F559" s="367"/>
      <c r="G559" s="367"/>
      <c r="H559" s="366"/>
      <c r="I559" s="366"/>
      <c r="J559" s="368"/>
      <c r="K559" s="368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  <c r="AA559" s="341"/>
      <c r="AB559" s="341"/>
      <c r="AC559" s="341"/>
      <c r="AD559" s="341"/>
      <c r="AE559" s="341"/>
      <c r="AF559" s="341"/>
    </row>
    <row r="560" spans="1:32" ht="15">
      <c r="A560" s="341"/>
      <c r="B560" s="365"/>
      <c r="C560" s="365"/>
      <c r="D560" s="366"/>
      <c r="E560" s="366"/>
      <c r="F560" s="367"/>
      <c r="G560" s="367"/>
      <c r="H560" s="366"/>
      <c r="I560" s="366"/>
      <c r="J560" s="368"/>
      <c r="K560" s="368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  <c r="AA560" s="341"/>
      <c r="AB560" s="341"/>
      <c r="AC560" s="341"/>
      <c r="AD560" s="341"/>
      <c r="AE560" s="341"/>
      <c r="AF560" s="341"/>
    </row>
    <row r="561" spans="1:32" ht="15">
      <c r="A561" s="341"/>
      <c r="B561" s="365"/>
      <c r="C561" s="365"/>
      <c r="D561" s="366"/>
      <c r="E561" s="366"/>
      <c r="F561" s="367"/>
      <c r="G561" s="367"/>
      <c r="H561" s="366"/>
      <c r="I561" s="366"/>
      <c r="J561" s="368"/>
      <c r="K561" s="368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  <c r="AA561" s="341"/>
      <c r="AB561" s="341"/>
      <c r="AC561" s="341"/>
      <c r="AD561" s="341"/>
      <c r="AE561" s="341"/>
      <c r="AF561" s="341"/>
    </row>
    <row r="562" spans="1:32" ht="15">
      <c r="A562" s="341"/>
      <c r="B562" s="365"/>
      <c r="C562" s="365"/>
      <c r="D562" s="366"/>
      <c r="E562" s="366"/>
      <c r="F562" s="367"/>
      <c r="G562" s="367"/>
      <c r="H562" s="366"/>
      <c r="I562" s="366"/>
      <c r="J562" s="368"/>
      <c r="K562" s="368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  <c r="AA562" s="341"/>
      <c r="AB562" s="341"/>
      <c r="AC562" s="341"/>
      <c r="AD562" s="341"/>
      <c r="AE562" s="341"/>
      <c r="AF562" s="341"/>
    </row>
    <row r="563" spans="1:32" ht="15">
      <c r="A563" s="341"/>
      <c r="B563" s="365"/>
      <c r="C563" s="365"/>
      <c r="D563" s="366"/>
      <c r="E563" s="366"/>
      <c r="F563" s="367"/>
      <c r="G563" s="367"/>
      <c r="H563" s="366"/>
      <c r="I563" s="366"/>
      <c r="J563" s="368"/>
      <c r="K563" s="368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  <c r="AA563" s="341"/>
      <c r="AB563" s="341"/>
      <c r="AC563" s="341"/>
      <c r="AD563" s="341"/>
      <c r="AE563" s="341"/>
      <c r="AF563" s="341"/>
    </row>
    <row r="564" spans="1:32" ht="15">
      <c r="A564" s="341"/>
      <c r="B564" s="365"/>
      <c r="C564" s="365"/>
      <c r="D564" s="366"/>
      <c r="E564" s="366"/>
      <c r="F564" s="367"/>
      <c r="G564" s="367"/>
      <c r="H564" s="366"/>
      <c r="I564" s="366"/>
      <c r="J564" s="368"/>
      <c r="K564" s="368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  <c r="AA564" s="341"/>
      <c r="AB564" s="341"/>
      <c r="AC564" s="341"/>
      <c r="AD564" s="341"/>
      <c r="AE564" s="341"/>
      <c r="AF564" s="341"/>
    </row>
    <row r="565" spans="1:32" ht="15">
      <c r="A565" s="341"/>
      <c r="B565" s="365"/>
      <c r="C565" s="365"/>
      <c r="D565" s="366"/>
      <c r="E565" s="366"/>
      <c r="F565" s="367"/>
      <c r="G565" s="367"/>
      <c r="H565" s="366"/>
      <c r="I565" s="366"/>
      <c r="J565" s="368"/>
      <c r="K565" s="368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  <c r="AA565" s="341"/>
      <c r="AB565" s="341"/>
      <c r="AC565" s="341"/>
      <c r="AD565" s="341"/>
      <c r="AE565" s="341"/>
      <c r="AF565" s="341"/>
    </row>
    <row r="566" spans="1:32" ht="15">
      <c r="A566" s="341"/>
      <c r="B566" s="365"/>
      <c r="C566" s="365"/>
      <c r="D566" s="366"/>
      <c r="E566" s="366"/>
      <c r="F566" s="367"/>
      <c r="G566" s="367"/>
      <c r="H566" s="366"/>
      <c r="I566" s="366"/>
      <c r="J566" s="368"/>
      <c r="K566" s="368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  <c r="AA566" s="341"/>
      <c r="AB566" s="341"/>
      <c r="AC566" s="341"/>
      <c r="AD566" s="341"/>
      <c r="AE566" s="341"/>
      <c r="AF566" s="341"/>
    </row>
    <row r="567" spans="1:32" ht="15">
      <c r="A567" s="341"/>
      <c r="B567" s="365"/>
      <c r="C567" s="365"/>
      <c r="D567" s="366"/>
      <c r="E567" s="366"/>
      <c r="F567" s="367"/>
      <c r="G567" s="367"/>
      <c r="H567" s="366"/>
      <c r="I567" s="366"/>
      <c r="J567" s="368"/>
      <c r="K567" s="368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  <c r="AA567" s="341"/>
      <c r="AB567" s="341"/>
      <c r="AC567" s="341"/>
      <c r="AD567" s="341"/>
      <c r="AE567" s="341"/>
      <c r="AF567" s="341"/>
    </row>
    <row r="568" spans="1:32" ht="15">
      <c r="A568" s="341"/>
      <c r="B568" s="365"/>
      <c r="C568" s="365"/>
      <c r="D568" s="366"/>
      <c r="E568" s="366"/>
      <c r="F568" s="367"/>
      <c r="G568" s="367"/>
      <c r="H568" s="366"/>
      <c r="I568" s="366"/>
      <c r="J568" s="368"/>
      <c r="K568" s="368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  <c r="AA568" s="341"/>
      <c r="AB568" s="341"/>
      <c r="AC568" s="341"/>
      <c r="AD568" s="341"/>
      <c r="AE568" s="341"/>
      <c r="AF568" s="341"/>
    </row>
    <row r="569" spans="1:32" ht="15">
      <c r="A569" s="341"/>
      <c r="B569" s="365"/>
      <c r="C569" s="365"/>
      <c r="D569" s="366"/>
      <c r="E569" s="366"/>
      <c r="F569" s="367"/>
      <c r="G569" s="367"/>
      <c r="H569" s="366"/>
      <c r="I569" s="366"/>
      <c r="J569" s="368"/>
      <c r="K569" s="368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  <c r="AA569" s="341"/>
      <c r="AB569" s="341"/>
      <c r="AC569" s="341"/>
      <c r="AD569" s="341"/>
      <c r="AE569" s="341"/>
      <c r="AF569" s="341"/>
    </row>
    <row r="570" spans="1:32" ht="15">
      <c r="A570" s="341"/>
      <c r="B570" s="365"/>
      <c r="C570" s="365"/>
      <c r="D570" s="366"/>
      <c r="E570" s="366"/>
      <c r="F570" s="367"/>
      <c r="G570" s="367"/>
      <c r="H570" s="366"/>
      <c r="I570" s="366"/>
      <c r="J570" s="368"/>
      <c r="K570" s="368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  <c r="AA570" s="341"/>
      <c r="AB570" s="341"/>
      <c r="AC570" s="341"/>
      <c r="AD570" s="341"/>
      <c r="AE570" s="341"/>
      <c r="AF570" s="341"/>
    </row>
    <row r="571" spans="1:32" ht="15">
      <c r="A571" s="341"/>
      <c r="B571" s="365"/>
      <c r="C571" s="365"/>
      <c r="D571" s="366"/>
      <c r="E571" s="366"/>
      <c r="F571" s="367"/>
      <c r="G571" s="367"/>
      <c r="H571" s="366"/>
      <c r="I571" s="366"/>
      <c r="J571" s="368"/>
      <c r="K571" s="368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  <c r="AA571" s="341"/>
      <c r="AB571" s="341"/>
      <c r="AC571" s="341"/>
      <c r="AD571" s="341"/>
      <c r="AE571" s="341"/>
      <c r="AF571" s="341"/>
    </row>
    <row r="572" spans="1:32" ht="15">
      <c r="A572" s="341"/>
      <c r="B572" s="365"/>
      <c r="C572" s="365"/>
      <c r="D572" s="366"/>
      <c r="E572" s="366"/>
      <c r="F572" s="367"/>
      <c r="G572" s="367"/>
      <c r="H572" s="366"/>
      <c r="I572" s="366"/>
      <c r="J572" s="368"/>
      <c r="K572" s="368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  <c r="AA572" s="341"/>
      <c r="AB572" s="341"/>
      <c r="AC572" s="341"/>
      <c r="AD572" s="341"/>
      <c r="AE572" s="341"/>
      <c r="AF572" s="341"/>
    </row>
    <row r="573" spans="1:32" ht="15">
      <c r="A573" s="341"/>
      <c r="B573" s="365"/>
      <c r="C573" s="365"/>
      <c r="D573" s="366"/>
      <c r="E573" s="366"/>
      <c r="F573" s="367"/>
      <c r="G573" s="367"/>
      <c r="H573" s="366"/>
      <c r="I573" s="366"/>
      <c r="J573" s="368"/>
      <c r="K573" s="368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  <c r="AA573" s="341"/>
      <c r="AB573" s="341"/>
      <c r="AC573" s="341"/>
      <c r="AD573" s="341"/>
      <c r="AE573" s="341"/>
      <c r="AF573" s="341"/>
    </row>
    <row r="574" spans="1:32" ht="15">
      <c r="A574" s="341"/>
      <c r="B574" s="365"/>
      <c r="C574" s="365"/>
      <c r="D574" s="366"/>
      <c r="E574" s="366"/>
      <c r="F574" s="367"/>
      <c r="G574" s="367"/>
      <c r="H574" s="366"/>
      <c r="I574" s="366"/>
      <c r="J574" s="368"/>
      <c r="K574" s="368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  <c r="AA574" s="341"/>
      <c r="AB574" s="341"/>
      <c r="AC574" s="341"/>
      <c r="AD574" s="341"/>
      <c r="AE574" s="341"/>
      <c r="AF574" s="341"/>
    </row>
    <row r="575" spans="1:32" ht="15">
      <c r="A575" s="341"/>
      <c r="B575" s="365"/>
      <c r="C575" s="365"/>
      <c r="D575" s="366"/>
      <c r="E575" s="366"/>
      <c r="F575" s="367"/>
      <c r="G575" s="367"/>
      <c r="H575" s="366"/>
      <c r="I575" s="366"/>
      <c r="J575" s="368"/>
      <c r="K575" s="368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  <c r="AA575" s="341"/>
      <c r="AB575" s="341"/>
      <c r="AC575" s="341"/>
      <c r="AD575" s="341"/>
      <c r="AE575" s="341"/>
      <c r="AF575" s="341"/>
    </row>
    <row r="576" spans="1:32" ht="15">
      <c r="A576" s="341"/>
      <c r="B576" s="365"/>
      <c r="C576" s="365"/>
      <c r="D576" s="366"/>
      <c r="E576" s="366"/>
      <c r="F576" s="367"/>
      <c r="G576" s="367"/>
      <c r="H576" s="366"/>
      <c r="I576" s="366"/>
      <c r="J576" s="368"/>
      <c r="K576" s="368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  <c r="AA576" s="341"/>
      <c r="AB576" s="341"/>
      <c r="AC576" s="341"/>
      <c r="AD576" s="341"/>
      <c r="AE576" s="341"/>
      <c r="AF576" s="341"/>
    </row>
    <row r="577" spans="1:32" ht="15">
      <c r="A577" s="341"/>
      <c r="B577" s="365"/>
      <c r="C577" s="365"/>
      <c r="D577" s="366"/>
      <c r="E577" s="366"/>
      <c r="F577" s="367"/>
      <c r="G577" s="367"/>
      <c r="H577" s="366"/>
      <c r="I577" s="366"/>
      <c r="J577" s="368"/>
      <c r="K577" s="368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  <c r="AA577" s="341"/>
      <c r="AB577" s="341"/>
      <c r="AC577" s="341"/>
      <c r="AD577" s="341"/>
      <c r="AE577" s="341"/>
      <c r="AF577" s="341"/>
    </row>
    <row r="578" spans="1:32" ht="15">
      <c r="A578" s="341"/>
      <c r="B578" s="365"/>
      <c r="C578" s="365"/>
      <c r="D578" s="366"/>
      <c r="E578" s="366"/>
      <c r="F578" s="367"/>
      <c r="G578" s="367"/>
      <c r="H578" s="366"/>
      <c r="I578" s="366"/>
      <c r="J578" s="368"/>
      <c r="K578" s="368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  <c r="AA578" s="341"/>
      <c r="AB578" s="341"/>
      <c r="AC578" s="341"/>
      <c r="AD578" s="341"/>
      <c r="AE578" s="341"/>
      <c r="AF578" s="341"/>
    </row>
    <row r="579" spans="1:32" ht="15">
      <c r="A579" s="341"/>
      <c r="B579" s="365"/>
      <c r="C579" s="365"/>
      <c r="D579" s="366"/>
      <c r="E579" s="366"/>
      <c r="F579" s="367"/>
      <c r="G579" s="367"/>
      <c r="H579" s="366"/>
      <c r="I579" s="366"/>
      <c r="J579" s="368"/>
      <c r="K579" s="368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  <c r="AA579" s="341"/>
      <c r="AB579" s="341"/>
      <c r="AC579" s="341"/>
      <c r="AD579" s="341"/>
      <c r="AE579" s="341"/>
      <c r="AF579" s="341"/>
    </row>
    <row r="580" spans="1:32" ht="15">
      <c r="A580" s="341"/>
      <c r="B580" s="365"/>
      <c r="C580" s="365"/>
      <c r="D580" s="366"/>
      <c r="E580" s="366"/>
      <c r="F580" s="367"/>
      <c r="G580" s="367"/>
      <c r="H580" s="366"/>
      <c r="I580" s="366"/>
      <c r="J580" s="368"/>
      <c r="K580" s="368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  <c r="AA580" s="341"/>
      <c r="AB580" s="341"/>
      <c r="AC580" s="341"/>
      <c r="AD580" s="341"/>
      <c r="AE580" s="341"/>
      <c r="AF580" s="341"/>
    </row>
    <row r="581" spans="1:32" ht="15">
      <c r="A581" s="341"/>
      <c r="B581" s="365"/>
      <c r="C581" s="365"/>
      <c r="D581" s="366"/>
      <c r="E581" s="366"/>
      <c r="F581" s="367"/>
      <c r="G581" s="367"/>
      <c r="H581" s="366"/>
      <c r="I581" s="366"/>
      <c r="J581" s="368"/>
      <c r="K581" s="368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  <c r="AA581" s="341"/>
      <c r="AB581" s="341"/>
      <c r="AC581" s="341"/>
      <c r="AD581" s="341"/>
      <c r="AE581" s="341"/>
      <c r="AF581" s="341"/>
    </row>
    <row r="582" spans="1:32" ht="15">
      <c r="A582" s="341"/>
      <c r="B582" s="365"/>
      <c r="C582" s="365"/>
      <c r="D582" s="366"/>
      <c r="E582" s="366"/>
      <c r="F582" s="367"/>
      <c r="G582" s="367"/>
      <c r="H582" s="366"/>
      <c r="I582" s="366"/>
      <c r="J582" s="368"/>
      <c r="K582" s="368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  <c r="AA582" s="341"/>
      <c r="AB582" s="341"/>
      <c r="AC582" s="341"/>
      <c r="AD582" s="341"/>
      <c r="AE582" s="341"/>
      <c r="AF582" s="341"/>
    </row>
    <row r="583" spans="1:32" ht="15">
      <c r="A583" s="341"/>
      <c r="B583" s="365"/>
      <c r="C583" s="365"/>
      <c r="D583" s="366"/>
      <c r="E583" s="366"/>
      <c r="F583" s="367"/>
      <c r="G583" s="367"/>
      <c r="H583" s="366"/>
      <c r="I583" s="366"/>
      <c r="J583" s="368"/>
      <c r="K583" s="368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  <c r="AA583" s="341"/>
      <c r="AB583" s="341"/>
      <c r="AC583" s="341"/>
      <c r="AD583" s="341"/>
      <c r="AE583" s="341"/>
      <c r="AF583" s="341"/>
    </row>
    <row r="584" spans="1:32" ht="15">
      <c r="A584" s="341"/>
      <c r="B584" s="365"/>
      <c r="C584" s="365"/>
      <c r="D584" s="366"/>
      <c r="E584" s="366"/>
      <c r="F584" s="367"/>
      <c r="G584" s="367"/>
      <c r="H584" s="366"/>
      <c r="I584" s="366"/>
      <c r="J584" s="368"/>
      <c r="K584" s="368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  <c r="AA584" s="341"/>
      <c r="AB584" s="341"/>
      <c r="AC584" s="341"/>
      <c r="AD584" s="341"/>
      <c r="AE584" s="341"/>
      <c r="AF584" s="341"/>
    </row>
    <row r="585" spans="1:32" ht="15">
      <c r="A585" s="341"/>
      <c r="B585" s="365"/>
      <c r="C585" s="365"/>
      <c r="D585" s="366"/>
      <c r="E585" s="366"/>
      <c r="F585" s="367"/>
      <c r="G585" s="367"/>
      <c r="H585" s="366"/>
      <c r="I585" s="366"/>
      <c r="J585" s="368"/>
      <c r="K585" s="368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  <c r="AA585" s="341"/>
      <c r="AB585" s="341"/>
      <c r="AC585" s="341"/>
      <c r="AD585" s="341"/>
      <c r="AE585" s="341"/>
      <c r="AF585" s="341"/>
    </row>
    <row r="586" spans="1:32" ht="15">
      <c r="A586" s="341"/>
      <c r="B586" s="365"/>
      <c r="C586" s="365"/>
      <c r="D586" s="366"/>
      <c r="E586" s="366"/>
      <c r="F586" s="367"/>
      <c r="G586" s="367"/>
      <c r="H586" s="366"/>
      <c r="I586" s="366"/>
      <c r="J586" s="368"/>
      <c r="K586" s="368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  <c r="AA586" s="341"/>
      <c r="AB586" s="341"/>
      <c r="AC586" s="341"/>
      <c r="AD586" s="341"/>
      <c r="AE586" s="341"/>
      <c r="AF586" s="341"/>
    </row>
    <row r="587" spans="1:32" ht="15">
      <c r="A587" s="341"/>
      <c r="B587" s="365"/>
      <c r="C587" s="365"/>
      <c r="D587" s="366"/>
      <c r="E587" s="366"/>
      <c r="F587" s="367"/>
      <c r="G587" s="367"/>
      <c r="H587" s="366"/>
      <c r="I587" s="366"/>
      <c r="J587" s="368"/>
      <c r="K587" s="368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  <c r="AA587" s="341"/>
      <c r="AB587" s="341"/>
      <c r="AC587" s="341"/>
      <c r="AD587" s="341"/>
      <c r="AE587" s="341"/>
      <c r="AF587" s="341"/>
    </row>
    <row r="588" spans="1:32" ht="15">
      <c r="A588" s="341"/>
      <c r="B588" s="365"/>
      <c r="C588" s="365"/>
      <c r="D588" s="366"/>
      <c r="E588" s="366"/>
      <c r="F588" s="367"/>
      <c r="G588" s="367"/>
      <c r="H588" s="366"/>
      <c r="I588" s="366"/>
      <c r="J588" s="368"/>
      <c r="K588" s="368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  <c r="AA588" s="341"/>
      <c r="AB588" s="341"/>
      <c r="AC588" s="341"/>
      <c r="AD588" s="341"/>
      <c r="AE588" s="341"/>
      <c r="AF588" s="341"/>
    </row>
    <row r="589" spans="1:32" ht="15">
      <c r="A589" s="341"/>
      <c r="B589" s="365"/>
      <c r="C589" s="365"/>
      <c r="D589" s="366"/>
      <c r="E589" s="366"/>
      <c r="F589" s="367"/>
      <c r="G589" s="367"/>
      <c r="H589" s="366"/>
      <c r="I589" s="366"/>
      <c r="J589" s="368"/>
      <c r="K589" s="368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  <c r="AA589" s="341"/>
      <c r="AB589" s="341"/>
      <c r="AC589" s="341"/>
      <c r="AD589" s="341"/>
      <c r="AE589" s="341"/>
      <c r="AF589" s="341"/>
    </row>
    <row r="590" spans="1:32" ht="15">
      <c r="A590" s="341"/>
      <c r="B590" s="365"/>
      <c r="C590" s="365"/>
      <c r="D590" s="366"/>
      <c r="E590" s="366"/>
      <c r="F590" s="367"/>
      <c r="G590" s="367"/>
      <c r="H590" s="366"/>
      <c r="I590" s="366"/>
      <c r="J590" s="368"/>
      <c r="K590" s="368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  <c r="AA590" s="341"/>
      <c r="AB590" s="341"/>
      <c r="AC590" s="341"/>
      <c r="AD590" s="341"/>
      <c r="AE590" s="341"/>
      <c r="AF590" s="341"/>
    </row>
    <row r="591" spans="1:32" ht="15">
      <c r="A591" s="341"/>
      <c r="B591" s="365"/>
      <c r="C591" s="365"/>
      <c r="D591" s="366"/>
      <c r="E591" s="366"/>
      <c r="F591" s="367"/>
      <c r="G591" s="367"/>
      <c r="H591" s="366"/>
      <c r="I591" s="366"/>
      <c r="J591" s="368"/>
      <c r="K591" s="368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  <c r="AA591" s="341"/>
      <c r="AB591" s="341"/>
      <c r="AC591" s="341"/>
      <c r="AD591" s="341"/>
      <c r="AE591" s="341"/>
      <c r="AF591" s="341"/>
    </row>
    <row r="592" spans="1:32" ht="15">
      <c r="A592" s="341"/>
      <c r="B592" s="365"/>
      <c r="C592" s="365"/>
      <c r="D592" s="366"/>
      <c r="E592" s="366"/>
      <c r="F592" s="367"/>
      <c r="G592" s="367"/>
      <c r="H592" s="366"/>
      <c r="I592" s="366"/>
      <c r="J592" s="368"/>
      <c r="K592" s="368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  <c r="AA592" s="341"/>
      <c r="AB592" s="341"/>
      <c r="AC592" s="341"/>
      <c r="AD592" s="341"/>
      <c r="AE592" s="341"/>
      <c r="AF592" s="341"/>
    </row>
    <row r="593" spans="1:32" ht="15">
      <c r="A593" s="341"/>
      <c r="B593" s="365"/>
      <c r="C593" s="365"/>
      <c r="D593" s="366"/>
      <c r="E593" s="366"/>
      <c r="F593" s="367"/>
      <c r="G593" s="367"/>
      <c r="H593" s="366"/>
      <c r="I593" s="366"/>
      <c r="J593" s="368"/>
      <c r="K593" s="368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  <c r="AA593" s="341"/>
      <c r="AB593" s="341"/>
      <c r="AC593" s="341"/>
      <c r="AD593" s="341"/>
      <c r="AE593" s="341"/>
      <c r="AF593" s="341"/>
    </row>
    <row r="594" spans="1:32" ht="15">
      <c r="A594" s="341"/>
      <c r="B594" s="365"/>
      <c r="C594" s="365"/>
      <c r="D594" s="366"/>
      <c r="E594" s="366"/>
      <c r="F594" s="367"/>
      <c r="G594" s="367"/>
      <c r="H594" s="366"/>
      <c r="I594" s="366"/>
      <c r="J594" s="368"/>
      <c r="K594" s="368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  <c r="AA594" s="341"/>
      <c r="AB594" s="341"/>
      <c r="AC594" s="341"/>
      <c r="AD594" s="341"/>
      <c r="AE594" s="341"/>
      <c r="AF594" s="341"/>
    </row>
    <row r="595" spans="1:32" ht="15">
      <c r="A595" s="341"/>
      <c r="B595" s="365"/>
      <c r="C595" s="365"/>
      <c r="D595" s="366"/>
      <c r="E595" s="366"/>
      <c r="F595" s="367"/>
      <c r="G595" s="367"/>
      <c r="H595" s="366"/>
      <c r="I595" s="366"/>
      <c r="J595" s="368"/>
      <c r="K595" s="368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1"/>
      <c r="Y595" s="341"/>
      <c r="Z595" s="341"/>
      <c r="AA595" s="341"/>
      <c r="AB595" s="341"/>
      <c r="AC595" s="341"/>
      <c r="AD595" s="341"/>
      <c r="AE595" s="341"/>
      <c r="AF595" s="341"/>
    </row>
    <row r="596" spans="1:32" ht="15">
      <c r="A596" s="341"/>
      <c r="B596" s="365"/>
      <c r="C596" s="365"/>
      <c r="D596" s="366"/>
      <c r="E596" s="366"/>
      <c r="F596" s="367"/>
      <c r="G596" s="367"/>
      <c r="H596" s="366"/>
      <c r="I596" s="366"/>
      <c r="J596" s="368"/>
      <c r="K596" s="368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1"/>
      <c r="Y596" s="341"/>
      <c r="Z596" s="341"/>
      <c r="AA596" s="341"/>
      <c r="AB596" s="341"/>
      <c r="AC596" s="341"/>
      <c r="AD596" s="341"/>
      <c r="AE596" s="341"/>
      <c r="AF596" s="341"/>
    </row>
    <row r="597" spans="1:32" ht="15">
      <c r="A597" s="341"/>
      <c r="B597" s="365"/>
      <c r="C597" s="365"/>
      <c r="D597" s="366"/>
      <c r="E597" s="366"/>
      <c r="F597" s="367"/>
      <c r="G597" s="367"/>
      <c r="H597" s="366"/>
      <c r="I597" s="366"/>
      <c r="J597" s="368"/>
      <c r="K597" s="368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1"/>
      <c r="Y597" s="341"/>
      <c r="Z597" s="341"/>
      <c r="AA597" s="341"/>
      <c r="AB597" s="341"/>
      <c r="AC597" s="341"/>
      <c r="AD597" s="341"/>
      <c r="AE597" s="341"/>
      <c r="AF597" s="341"/>
    </row>
    <row r="598" spans="1:32" ht="15">
      <c r="A598" s="341"/>
      <c r="B598" s="365"/>
      <c r="C598" s="365"/>
      <c r="D598" s="366"/>
      <c r="E598" s="366"/>
      <c r="F598" s="367"/>
      <c r="G598" s="367"/>
      <c r="H598" s="366"/>
      <c r="I598" s="366"/>
      <c r="J598" s="368"/>
      <c r="K598" s="368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1"/>
      <c r="Y598" s="341"/>
      <c r="Z598" s="341"/>
      <c r="AA598" s="341"/>
      <c r="AB598" s="341"/>
      <c r="AC598" s="341"/>
      <c r="AD598" s="341"/>
      <c r="AE598" s="341"/>
      <c r="AF598" s="341"/>
    </row>
    <row r="599" spans="1:32" ht="15">
      <c r="A599" s="341"/>
      <c r="B599" s="365"/>
      <c r="C599" s="365"/>
      <c r="D599" s="366"/>
      <c r="E599" s="366"/>
      <c r="F599" s="367"/>
      <c r="G599" s="367"/>
      <c r="H599" s="366"/>
      <c r="I599" s="366"/>
      <c r="J599" s="368"/>
      <c r="K599" s="368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1"/>
      <c r="Y599" s="341"/>
      <c r="Z599" s="341"/>
      <c r="AA599" s="341"/>
      <c r="AB599" s="341"/>
      <c r="AC599" s="341"/>
      <c r="AD599" s="341"/>
      <c r="AE599" s="341"/>
      <c r="AF599" s="341"/>
    </row>
    <row r="600" spans="1:32" ht="15">
      <c r="A600" s="341"/>
      <c r="B600" s="365"/>
      <c r="C600" s="365"/>
      <c r="D600" s="366"/>
      <c r="E600" s="366"/>
      <c r="F600" s="367"/>
      <c r="G600" s="367"/>
      <c r="H600" s="366"/>
      <c r="I600" s="366"/>
      <c r="J600" s="368"/>
      <c r="K600" s="368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1"/>
      <c r="Y600" s="341"/>
      <c r="Z600" s="341"/>
      <c r="AA600" s="341"/>
      <c r="AB600" s="341"/>
      <c r="AC600" s="341"/>
      <c r="AD600" s="341"/>
      <c r="AE600" s="341"/>
      <c r="AF600" s="341"/>
    </row>
    <row r="601" spans="1:32" ht="15">
      <c r="A601" s="341"/>
      <c r="B601" s="365"/>
      <c r="C601" s="365"/>
      <c r="D601" s="366"/>
      <c r="E601" s="366"/>
      <c r="F601" s="367"/>
      <c r="G601" s="367"/>
      <c r="H601" s="366"/>
      <c r="I601" s="366"/>
      <c r="J601" s="368"/>
      <c r="K601" s="368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1"/>
      <c r="Y601" s="341"/>
      <c r="Z601" s="341"/>
      <c r="AA601" s="341"/>
      <c r="AB601" s="341"/>
      <c r="AC601" s="341"/>
      <c r="AD601" s="341"/>
      <c r="AE601" s="341"/>
      <c r="AF601" s="341"/>
    </row>
    <row r="602" spans="1:32" ht="15">
      <c r="A602" s="341"/>
      <c r="B602" s="365"/>
      <c r="C602" s="365"/>
      <c r="D602" s="366"/>
      <c r="E602" s="366"/>
      <c r="F602" s="367"/>
      <c r="G602" s="367"/>
      <c r="H602" s="366"/>
      <c r="I602" s="366"/>
      <c r="J602" s="368"/>
      <c r="K602" s="368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1"/>
      <c r="Y602" s="341"/>
      <c r="Z602" s="341"/>
      <c r="AA602" s="341"/>
      <c r="AB602" s="341"/>
      <c r="AC602" s="341"/>
      <c r="AD602" s="341"/>
      <c r="AE602" s="341"/>
      <c r="AF602" s="341"/>
    </row>
    <row r="603" spans="1:32" ht="15">
      <c r="A603" s="341"/>
      <c r="B603" s="365"/>
      <c r="C603" s="365"/>
      <c r="D603" s="366"/>
      <c r="E603" s="366"/>
      <c r="F603" s="367"/>
      <c r="G603" s="367"/>
      <c r="H603" s="366"/>
      <c r="I603" s="366"/>
      <c r="J603" s="368"/>
      <c r="K603" s="368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1"/>
      <c r="Y603" s="341"/>
      <c r="Z603" s="341"/>
      <c r="AA603" s="341"/>
      <c r="AB603" s="341"/>
      <c r="AC603" s="341"/>
      <c r="AD603" s="341"/>
      <c r="AE603" s="341"/>
      <c r="AF603" s="341"/>
    </row>
    <row r="604" spans="1:32" ht="15">
      <c r="A604" s="341"/>
      <c r="B604" s="365"/>
      <c r="C604" s="365"/>
      <c r="D604" s="366"/>
      <c r="E604" s="366"/>
      <c r="F604" s="367"/>
      <c r="G604" s="367"/>
      <c r="H604" s="366"/>
      <c r="I604" s="366"/>
      <c r="J604" s="368"/>
      <c r="K604" s="368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1"/>
      <c r="Y604" s="341"/>
      <c r="Z604" s="341"/>
      <c r="AA604" s="341"/>
      <c r="AB604" s="341"/>
      <c r="AC604" s="341"/>
      <c r="AD604" s="341"/>
      <c r="AE604" s="341"/>
      <c r="AF604" s="341"/>
    </row>
    <row r="605" spans="1:32" ht="15">
      <c r="A605" s="341"/>
      <c r="B605" s="365"/>
      <c r="C605" s="365"/>
      <c r="D605" s="366"/>
      <c r="E605" s="366"/>
      <c r="F605" s="367"/>
      <c r="G605" s="367"/>
      <c r="H605" s="366"/>
      <c r="I605" s="366"/>
      <c r="J605" s="368"/>
      <c r="K605" s="368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1"/>
      <c r="Y605" s="341"/>
      <c r="Z605" s="341"/>
      <c r="AA605" s="341"/>
      <c r="AB605" s="341"/>
      <c r="AC605" s="341"/>
      <c r="AD605" s="341"/>
      <c r="AE605" s="341"/>
      <c r="AF605" s="341"/>
    </row>
    <row r="606" spans="1:32" ht="15">
      <c r="A606" s="341"/>
      <c r="B606" s="365"/>
      <c r="C606" s="365"/>
      <c r="D606" s="366"/>
      <c r="E606" s="366"/>
      <c r="F606" s="367"/>
      <c r="G606" s="367"/>
      <c r="H606" s="366"/>
      <c r="I606" s="366"/>
      <c r="J606" s="368"/>
      <c r="K606" s="368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1"/>
      <c r="Y606" s="341"/>
      <c r="Z606" s="341"/>
      <c r="AA606" s="341"/>
      <c r="AB606" s="341"/>
      <c r="AC606" s="341"/>
      <c r="AD606" s="341"/>
      <c r="AE606" s="341"/>
      <c r="AF606" s="341"/>
    </row>
    <row r="607" spans="1:32" ht="15">
      <c r="A607" s="341"/>
      <c r="B607" s="365"/>
      <c r="C607" s="365"/>
      <c r="D607" s="366"/>
      <c r="E607" s="366"/>
      <c r="F607" s="367"/>
      <c r="G607" s="367"/>
      <c r="H607" s="366"/>
      <c r="I607" s="366"/>
      <c r="J607" s="368"/>
      <c r="K607" s="368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1"/>
      <c r="Y607" s="341"/>
      <c r="Z607" s="341"/>
      <c r="AA607" s="341"/>
      <c r="AB607" s="341"/>
      <c r="AC607" s="341"/>
      <c r="AD607" s="341"/>
      <c r="AE607" s="341"/>
      <c r="AF607" s="341"/>
    </row>
    <row r="608" spans="1:32" ht="15">
      <c r="A608" s="341"/>
      <c r="B608" s="365"/>
      <c r="C608" s="365"/>
      <c r="D608" s="366"/>
      <c r="E608" s="366"/>
      <c r="F608" s="367"/>
      <c r="G608" s="367"/>
      <c r="H608" s="366"/>
      <c r="I608" s="366"/>
      <c r="J608" s="368"/>
      <c r="K608" s="368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1"/>
      <c r="Y608" s="341"/>
      <c r="Z608" s="341"/>
      <c r="AA608" s="341"/>
      <c r="AB608" s="341"/>
      <c r="AC608" s="341"/>
      <c r="AD608" s="341"/>
      <c r="AE608" s="341"/>
      <c r="AF608" s="341"/>
    </row>
    <row r="609" spans="1:32" ht="15">
      <c r="A609" s="341"/>
      <c r="B609" s="365"/>
      <c r="C609" s="365"/>
      <c r="D609" s="366"/>
      <c r="E609" s="366"/>
      <c r="F609" s="367"/>
      <c r="G609" s="367"/>
      <c r="H609" s="366"/>
      <c r="I609" s="366"/>
      <c r="J609" s="368"/>
      <c r="K609" s="368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1"/>
      <c r="Y609" s="341"/>
      <c r="Z609" s="341"/>
      <c r="AA609" s="341"/>
      <c r="AB609" s="341"/>
      <c r="AC609" s="341"/>
      <c r="AD609" s="341"/>
      <c r="AE609" s="341"/>
      <c r="AF609" s="341"/>
    </row>
    <row r="610" spans="1:32" ht="15">
      <c r="A610" s="341"/>
      <c r="B610" s="365"/>
      <c r="C610" s="365"/>
      <c r="D610" s="366"/>
      <c r="E610" s="366"/>
      <c r="F610" s="367"/>
      <c r="G610" s="367"/>
      <c r="H610" s="366"/>
      <c r="I610" s="366"/>
      <c r="J610" s="368"/>
      <c r="K610" s="368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1"/>
      <c r="Y610" s="341"/>
      <c r="Z610" s="341"/>
      <c r="AA610" s="341"/>
      <c r="AB610" s="341"/>
      <c r="AC610" s="341"/>
      <c r="AD610" s="341"/>
      <c r="AE610" s="341"/>
      <c r="AF610" s="341"/>
    </row>
    <row r="611" spans="1:32" ht="15">
      <c r="A611" s="341"/>
      <c r="B611" s="365"/>
      <c r="C611" s="365"/>
      <c r="D611" s="366"/>
      <c r="E611" s="366"/>
      <c r="F611" s="367"/>
      <c r="G611" s="367"/>
      <c r="H611" s="366"/>
      <c r="I611" s="366"/>
      <c r="J611" s="368"/>
      <c r="K611" s="368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1"/>
      <c r="Y611" s="341"/>
      <c r="Z611" s="341"/>
      <c r="AA611" s="341"/>
      <c r="AB611" s="341"/>
      <c r="AC611" s="341"/>
      <c r="AD611" s="341"/>
      <c r="AE611" s="341"/>
      <c r="AF611" s="341"/>
    </row>
    <row r="612" spans="1:32" ht="15">
      <c r="A612" s="341"/>
      <c r="B612" s="365"/>
      <c r="C612" s="365"/>
      <c r="D612" s="366"/>
      <c r="E612" s="366"/>
      <c r="F612" s="367"/>
      <c r="G612" s="367"/>
      <c r="H612" s="366"/>
      <c r="I612" s="366"/>
      <c r="J612" s="368"/>
      <c r="K612" s="368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1"/>
      <c r="Y612" s="341"/>
      <c r="Z612" s="341"/>
      <c r="AA612" s="341"/>
      <c r="AB612" s="341"/>
      <c r="AC612" s="341"/>
      <c r="AD612" s="341"/>
      <c r="AE612" s="341"/>
      <c r="AF612" s="341"/>
    </row>
    <row r="613" spans="1:32" ht="15">
      <c r="A613" s="341"/>
      <c r="B613" s="365"/>
      <c r="C613" s="365"/>
      <c r="D613" s="366"/>
      <c r="E613" s="366"/>
      <c r="F613" s="367"/>
      <c r="G613" s="367"/>
      <c r="H613" s="366"/>
      <c r="I613" s="366"/>
      <c r="J613" s="368"/>
      <c r="K613" s="368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1"/>
      <c r="Y613" s="341"/>
      <c r="Z613" s="341"/>
      <c r="AA613" s="341"/>
      <c r="AB613" s="341"/>
      <c r="AC613" s="341"/>
      <c r="AD613" s="341"/>
      <c r="AE613" s="341"/>
      <c r="AF613" s="341"/>
    </row>
    <row r="614" spans="1:32" ht="15">
      <c r="A614" s="341"/>
      <c r="B614" s="365"/>
      <c r="C614" s="365"/>
      <c r="D614" s="366"/>
      <c r="E614" s="366"/>
      <c r="F614" s="367"/>
      <c r="G614" s="367"/>
      <c r="H614" s="366"/>
      <c r="I614" s="366"/>
      <c r="J614" s="368"/>
      <c r="K614" s="368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1"/>
      <c r="Y614" s="341"/>
      <c r="Z614" s="341"/>
      <c r="AA614" s="341"/>
      <c r="AB614" s="341"/>
      <c r="AC614" s="341"/>
      <c r="AD614" s="341"/>
      <c r="AE614" s="341"/>
      <c r="AF614" s="341"/>
    </row>
    <row r="615" spans="1:32" ht="15">
      <c r="A615" s="341"/>
      <c r="B615" s="365"/>
      <c r="C615" s="365"/>
      <c r="D615" s="366"/>
      <c r="E615" s="366"/>
      <c r="F615" s="367"/>
      <c r="G615" s="367"/>
      <c r="H615" s="366"/>
      <c r="I615" s="366"/>
      <c r="J615" s="368"/>
      <c r="K615" s="368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1"/>
      <c r="Y615" s="341"/>
      <c r="Z615" s="341"/>
      <c r="AA615" s="341"/>
      <c r="AB615" s="341"/>
      <c r="AC615" s="341"/>
      <c r="AD615" s="341"/>
      <c r="AE615" s="341"/>
      <c r="AF615" s="341"/>
    </row>
    <row r="616" spans="1:32" ht="15">
      <c r="A616" s="341"/>
      <c r="B616" s="365"/>
      <c r="C616" s="365"/>
      <c r="D616" s="366"/>
      <c r="E616" s="366"/>
      <c r="F616" s="367"/>
      <c r="G616" s="367"/>
      <c r="H616" s="366"/>
      <c r="I616" s="366"/>
      <c r="J616" s="368"/>
      <c r="K616" s="368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1"/>
      <c r="Y616" s="341"/>
      <c r="Z616" s="341"/>
      <c r="AA616" s="341"/>
      <c r="AB616" s="341"/>
      <c r="AC616" s="341"/>
      <c r="AD616" s="341"/>
      <c r="AE616" s="341"/>
      <c r="AF616" s="341"/>
    </row>
    <row r="617" spans="1:32" ht="15">
      <c r="A617" s="341"/>
      <c r="B617" s="365"/>
      <c r="C617" s="365"/>
      <c r="D617" s="366"/>
      <c r="E617" s="366"/>
      <c r="F617" s="367"/>
      <c r="G617" s="367"/>
      <c r="H617" s="366"/>
      <c r="I617" s="366"/>
      <c r="J617" s="368"/>
      <c r="K617" s="368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1"/>
      <c r="Y617" s="341"/>
      <c r="Z617" s="341"/>
      <c r="AA617" s="341"/>
      <c r="AB617" s="341"/>
      <c r="AC617" s="341"/>
      <c r="AD617" s="341"/>
      <c r="AE617" s="341"/>
      <c r="AF617" s="341"/>
    </row>
    <row r="618" spans="1:32" ht="15">
      <c r="A618" s="341"/>
      <c r="B618" s="365"/>
      <c r="C618" s="365"/>
      <c r="D618" s="366"/>
      <c r="E618" s="366"/>
      <c r="F618" s="367"/>
      <c r="G618" s="367"/>
      <c r="H618" s="366"/>
      <c r="I618" s="366"/>
      <c r="J618" s="368"/>
      <c r="K618" s="368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1"/>
      <c r="Y618" s="341"/>
      <c r="Z618" s="341"/>
      <c r="AA618" s="341"/>
      <c r="AB618" s="341"/>
      <c r="AC618" s="341"/>
      <c r="AD618" s="341"/>
      <c r="AE618" s="341"/>
      <c r="AF618" s="341"/>
    </row>
    <row r="619" spans="1:32" ht="15">
      <c r="A619" s="341"/>
      <c r="B619" s="365"/>
      <c r="C619" s="365"/>
      <c r="D619" s="366"/>
      <c r="E619" s="366"/>
      <c r="F619" s="367"/>
      <c r="G619" s="367"/>
      <c r="H619" s="366"/>
      <c r="I619" s="366"/>
      <c r="J619" s="368"/>
      <c r="K619" s="368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1"/>
      <c r="Y619" s="341"/>
      <c r="Z619" s="341"/>
      <c r="AA619" s="341"/>
      <c r="AB619" s="341"/>
      <c r="AC619" s="341"/>
      <c r="AD619" s="341"/>
      <c r="AE619" s="341"/>
      <c r="AF619" s="341"/>
    </row>
    <row r="620" spans="1:32" ht="15">
      <c r="A620" s="341"/>
      <c r="B620" s="365"/>
      <c r="C620" s="365"/>
      <c r="D620" s="366"/>
      <c r="E620" s="366"/>
      <c r="F620" s="367"/>
      <c r="G620" s="367"/>
      <c r="H620" s="366"/>
      <c r="I620" s="366"/>
      <c r="J620" s="368"/>
      <c r="K620" s="368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1"/>
      <c r="Y620" s="341"/>
      <c r="Z620" s="341"/>
      <c r="AA620" s="341"/>
      <c r="AB620" s="341"/>
      <c r="AC620" s="341"/>
      <c r="AD620" s="341"/>
      <c r="AE620" s="341"/>
      <c r="AF620" s="341"/>
    </row>
    <row r="621" spans="1:32" ht="15">
      <c r="A621" s="341"/>
      <c r="B621" s="365"/>
      <c r="C621" s="365"/>
      <c r="D621" s="366"/>
      <c r="E621" s="366"/>
      <c r="F621" s="367"/>
      <c r="G621" s="367"/>
      <c r="H621" s="366"/>
      <c r="I621" s="366"/>
      <c r="J621" s="368"/>
      <c r="K621" s="368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1"/>
      <c r="Y621" s="341"/>
      <c r="Z621" s="341"/>
      <c r="AA621" s="341"/>
      <c r="AB621" s="341"/>
      <c r="AC621" s="341"/>
      <c r="AD621" s="341"/>
      <c r="AE621" s="341"/>
      <c r="AF621" s="341"/>
    </row>
    <row r="622" spans="1:32" ht="15">
      <c r="A622" s="341"/>
      <c r="B622" s="365"/>
      <c r="C622" s="365"/>
      <c r="D622" s="366"/>
      <c r="E622" s="366"/>
      <c r="F622" s="367"/>
      <c r="G622" s="367"/>
      <c r="H622" s="366"/>
      <c r="I622" s="366"/>
      <c r="J622" s="368"/>
      <c r="K622" s="368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1"/>
      <c r="Y622" s="341"/>
      <c r="Z622" s="341"/>
      <c r="AA622" s="341"/>
      <c r="AB622" s="341"/>
      <c r="AC622" s="341"/>
      <c r="AD622" s="341"/>
      <c r="AE622" s="341"/>
      <c r="AF622" s="341"/>
    </row>
    <row r="623" spans="1:32" ht="15">
      <c r="A623" s="341"/>
      <c r="B623" s="365"/>
      <c r="C623" s="365"/>
      <c r="D623" s="366"/>
      <c r="E623" s="366"/>
      <c r="F623" s="367"/>
      <c r="G623" s="367"/>
      <c r="H623" s="366"/>
      <c r="I623" s="366"/>
      <c r="J623" s="368"/>
      <c r="K623" s="368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1"/>
      <c r="Y623" s="341"/>
      <c r="Z623" s="341"/>
      <c r="AA623" s="341"/>
      <c r="AB623" s="341"/>
      <c r="AC623" s="341"/>
      <c r="AD623" s="341"/>
      <c r="AE623" s="341"/>
      <c r="AF623" s="341"/>
    </row>
    <row r="624" spans="1:32" ht="15">
      <c r="A624" s="341"/>
      <c r="B624" s="365"/>
      <c r="C624" s="365"/>
      <c r="D624" s="366"/>
      <c r="E624" s="366"/>
      <c r="F624" s="367"/>
      <c r="G624" s="367"/>
      <c r="H624" s="366"/>
      <c r="I624" s="366"/>
      <c r="J624" s="368"/>
      <c r="K624" s="368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1"/>
      <c r="Y624" s="341"/>
      <c r="Z624" s="341"/>
      <c r="AA624" s="341"/>
      <c r="AB624" s="341"/>
      <c r="AC624" s="341"/>
      <c r="AD624" s="341"/>
      <c r="AE624" s="341"/>
      <c r="AF624" s="341"/>
    </row>
    <row r="625" spans="1:32" ht="15">
      <c r="A625" s="341"/>
      <c r="B625" s="365"/>
      <c r="C625" s="365"/>
      <c r="D625" s="366"/>
      <c r="E625" s="366"/>
      <c r="F625" s="367"/>
      <c r="G625" s="367"/>
      <c r="H625" s="366"/>
      <c r="I625" s="366"/>
      <c r="J625" s="368"/>
      <c r="K625" s="368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1"/>
      <c r="Y625" s="341"/>
      <c r="Z625" s="341"/>
      <c r="AA625" s="341"/>
      <c r="AB625" s="341"/>
      <c r="AC625" s="341"/>
      <c r="AD625" s="341"/>
      <c r="AE625" s="341"/>
      <c r="AF625" s="341"/>
    </row>
    <row r="626" spans="1:32" ht="15">
      <c r="A626" s="341"/>
      <c r="B626" s="365"/>
      <c r="C626" s="365"/>
      <c r="D626" s="366"/>
      <c r="E626" s="366"/>
      <c r="F626" s="367"/>
      <c r="G626" s="367"/>
      <c r="H626" s="366"/>
      <c r="I626" s="366"/>
      <c r="J626" s="368"/>
      <c r="K626" s="368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1"/>
      <c r="Y626" s="341"/>
      <c r="Z626" s="341"/>
      <c r="AA626" s="341"/>
      <c r="AB626" s="341"/>
      <c r="AC626" s="341"/>
      <c r="AD626" s="341"/>
      <c r="AE626" s="341"/>
      <c r="AF626" s="341"/>
    </row>
    <row r="627" spans="1:32" ht="15">
      <c r="A627" s="341"/>
      <c r="B627" s="365"/>
      <c r="C627" s="365"/>
      <c r="D627" s="366"/>
      <c r="E627" s="366"/>
      <c r="F627" s="367"/>
      <c r="G627" s="367"/>
      <c r="H627" s="366"/>
      <c r="I627" s="366"/>
      <c r="J627" s="368"/>
      <c r="K627" s="368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1"/>
      <c r="Y627" s="341"/>
      <c r="Z627" s="341"/>
      <c r="AA627" s="341"/>
      <c r="AB627" s="341"/>
      <c r="AC627" s="341"/>
      <c r="AD627" s="341"/>
      <c r="AE627" s="341"/>
      <c r="AF627" s="341"/>
    </row>
    <row r="628" spans="1:32" ht="15">
      <c r="A628" s="341"/>
      <c r="B628" s="365"/>
      <c r="C628" s="365"/>
      <c r="D628" s="366"/>
      <c r="E628" s="366"/>
      <c r="F628" s="367"/>
      <c r="G628" s="367"/>
      <c r="H628" s="366"/>
      <c r="I628" s="366"/>
      <c r="J628" s="368"/>
      <c r="K628" s="368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1"/>
      <c r="Y628" s="341"/>
      <c r="Z628" s="341"/>
      <c r="AA628" s="341"/>
      <c r="AB628" s="341"/>
      <c r="AC628" s="341"/>
      <c r="AD628" s="341"/>
      <c r="AE628" s="341"/>
      <c r="AF628" s="341"/>
    </row>
    <row r="629" spans="1:32" ht="15">
      <c r="A629" s="341"/>
      <c r="B629" s="365"/>
      <c r="C629" s="365"/>
      <c r="D629" s="366"/>
      <c r="E629" s="366"/>
      <c r="F629" s="367"/>
      <c r="G629" s="367"/>
      <c r="H629" s="366"/>
      <c r="I629" s="366"/>
      <c r="J629" s="368"/>
      <c r="K629" s="368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1"/>
      <c r="Y629" s="341"/>
      <c r="Z629" s="341"/>
      <c r="AA629" s="341"/>
      <c r="AB629" s="341"/>
      <c r="AC629" s="341"/>
      <c r="AD629" s="341"/>
      <c r="AE629" s="341"/>
      <c r="AF629" s="341"/>
    </row>
    <row r="630" spans="1:32" ht="15">
      <c r="A630" s="341"/>
      <c r="B630" s="365"/>
      <c r="C630" s="365"/>
      <c r="D630" s="366"/>
      <c r="E630" s="366"/>
      <c r="F630" s="367"/>
      <c r="G630" s="367"/>
      <c r="H630" s="366"/>
      <c r="I630" s="366"/>
      <c r="J630" s="368"/>
      <c r="K630" s="368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1"/>
      <c r="Y630" s="341"/>
      <c r="Z630" s="341"/>
      <c r="AA630" s="341"/>
      <c r="AB630" s="341"/>
      <c r="AC630" s="341"/>
      <c r="AD630" s="341"/>
      <c r="AE630" s="341"/>
      <c r="AF630" s="341"/>
    </row>
    <row r="631" spans="1:32" ht="15">
      <c r="A631" s="341"/>
      <c r="B631" s="365"/>
      <c r="C631" s="365"/>
      <c r="D631" s="366"/>
      <c r="E631" s="366"/>
      <c r="F631" s="367"/>
      <c r="G631" s="367"/>
      <c r="H631" s="366"/>
      <c r="I631" s="366"/>
      <c r="J631" s="368"/>
      <c r="K631" s="368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1"/>
      <c r="Y631" s="341"/>
      <c r="Z631" s="341"/>
      <c r="AA631" s="341"/>
      <c r="AB631" s="341"/>
      <c r="AC631" s="341"/>
      <c r="AD631" s="341"/>
      <c r="AE631" s="341"/>
      <c r="AF631" s="341"/>
    </row>
    <row r="632" spans="1:32" ht="15">
      <c r="A632" s="341"/>
      <c r="B632" s="365"/>
      <c r="C632" s="365"/>
      <c r="D632" s="366"/>
      <c r="E632" s="366"/>
      <c r="F632" s="367"/>
      <c r="G632" s="367"/>
      <c r="H632" s="366"/>
      <c r="I632" s="366"/>
      <c r="J632" s="368"/>
      <c r="K632" s="368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1"/>
      <c r="Y632" s="341"/>
      <c r="Z632" s="341"/>
      <c r="AA632" s="341"/>
      <c r="AB632" s="341"/>
      <c r="AC632" s="341"/>
      <c r="AD632" s="341"/>
      <c r="AE632" s="341"/>
      <c r="AF632" s="341"/>
    </row>
    <row r="633" spans="1:32" ht="15">
      <c r="A633" s="341"/>
      <c r="B633" s="365"/>
      <c r="C633" s="365"/>
      <c r="D633" s="366"/>
      <c r="E633" s="366"/>
      <c r="F633" s="367"/>
      <c r="G633" s="367"/>
      <c r="H633" s="366"/>
      <c r="I633" s="366"/>
      <c r="J633" s="368"/>
      <c r="K633" s="368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1"/>
      <c r="Y633" s="341"/>
      <c r="Z633" s="341"/>
      <c r="AA633" s="341"/>
      <c r="AB633" s="341"/>
      <c r="AC633" s="341"/>
      <c r="AD633" s="341"/>
      <c r="AE633" s="341"/>
      <c r="AF633" s="341"/>
    </row>
    <row r="634" spans="1:32" ht="15">
      <c r="A634" s="341"/>
      <c r="B634" s="365"/>
      <c r="C634" s="365"/>
      <c r="D634" s="366"/>
      <c r="E634" s="366"/>
      <c r="F634" s="367"/>
      <c r="G634" s="367"/>
      <c r="H634" s="366"/>
      <c r="I634" s="366"/>
      <c r="J634" s="368"/>
      <c r="K634" s="368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1"/>
      <c r="Y634" s="341"/>
      <c r="Z634" s="341"/>
      <c r="AA634" s="341"/>
      <c r="AB634" s="341"/>
      <c r="AC634" s="341"/>
      <c r="AD634" s="341"/>
      <c r="AE634" s="341"/>
      <c r="AF634" s="341"/>
    </row>
    <row r="635" spans="1:32" ht="15">
      <c r="A635" s="341"/>
      <c r="B635" s="365"/>
      <c r="C635" s="365"/>
      <c r="D635" s="366"/>
      <c r="E635" s="366"/>
      <c r="F635" s="367"/>
      <c r="G635" s="367"/>
      <c r="H635" s="366"/>
      <c r="I635" s="366"/>
      <c r="J635" s="368"/>
      <c r="K635" s="368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1"/>
      <c r="Y635" s="341"/>
      <c r="Z635" s="341"/>
      <c r="AA635" s="341"/>
      <c r="AB635" s="341"/>
      <c r="AC635" s="341"/>
      <c r="AD635" s="341"/>
      <c r="AE635" s="341"/>
      <c r="AF635" s="341"/>
    </row>
    <row r="636" spans="1:32" ht="15">
      <c r="A636" s="341"/>
      <c r="B636" s="365"/>
      <c r="C636" s="365"/>
      <c r="D636" s="366"/>
      <c r="E636" s="366"/>
      <c r="F636" s="367"/>
      <c r="G636" s="367"/>
      <c r="H636" s="366"/>
      <c r="I636" s="366"/>
      <c r="J636" s="368"/>
      <c r="K636" s="368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1"/>
      <c r="Y636" s="341"/>
      <c r="Z636" s="341"/>
      <c r="AA636" s="341"/>
      <c r="AB636" s="341"/>
      <c r="AC636" s="341"/>
      <c r="AD636" s="341"/>
      <c r="AE636" s="341"/>
      <c r="AF636" s="341"/>
    </row>
    <row r="637" spans="1:32" ht="15">
      <c r="A637" s="341"/>
      <c r="B637" s="365"/>
      <c r="C637" s="365"/>
      <c r="D637" s="366"/>
      <c r="E637" s="366"/>
      <c r="F637" s="367"/>
      <c r="G637" s="367"/>
      <c r="H637" s="366"/>
      <c r="I637" s="366"/>
      <c r="J637" s="368"/>
      <c r="K637" s="368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1"/>
      <c r="Y637" s="341"/>
      <c r="Z637" s="341"/>
      <c r="AA637" s="341"/>
      <c r="AB637" s="341"/>
      <c r="AC637" s="341"/>
      <c r="AD637" s="341"/>
      <c r="AE637" s="341"/>
      <c r="AF637" s="341"/>
    </row>
    <row r="638" spans="1:32" ht="15">
      <c r="A638" s="341"/>
      <c r="B638" s="365"/>
      <c r="C638" s="365"/>
      <c r="D638" s="366"/>
      <c r="E638" s="366"/>
      <c r="F638" s="367"/>
      <c r="G638" s="367"/>
      <c r="H638" s="366"/>
      <c r="I638" s="366"/>
      <c r="J638" s="368"/>
      <c r="K638" s="368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1"/>
      <c r="Y638" s="341"/>
      <c r="Z638" s="341"/>
      <c r="AA638" s="341"/>
      <c r="AB638" s="341"/>
      <c r="AC638" s="341"/>
      <c r="AD638" s="341"/>
      <c r="AE638" s="341"/>
      <c r="AF638" s="341"/>
    </row>
    <row r="639" spans="1:32" ht="15">
      <c r="A639" s="341"/>
      <c r="B639" s="365"/>
      <c r="C639" s="365"/>
      <c r="D639" s="366"/>
      <c r="E639" s="366"/>
      <c r="F639" s="367"/>
      <c r="G639" s="367"/>
      <c r="H639" s="366"/>
      <c r="I639" s="366"/>
      <c r="J639" s="368"/>
      <c r="K639" s="368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1"/>
      <c r="Y639" s="341"/>
      <c r="Z639" s="341"/>
      <c r="AA639" s="341"/>
      <c r="AB639" s="341"/>
      <c r="AC639" s="341"/>
      <c r="AD639" s="341"/>
      <c r="AE639" s="341"/>
      <c r="AF639" s="341"/>
    </row>
    <row r="640" spans="1:32" ht="15">
      <c r="A640" s="341"/>
      <c r="B640" s="365"/>
      <c r="C640" s="365"/>
      <c r="D640" s="366"/>
      <c r="E640" s="366"/>
      <c r="F640" s="367"/>
      <c r="G640" s="367"/>
      <c r="H640" s="366"/>
      <c r="I640" s="366"/>
      <c r="J640" s="368"/>
      <c r="K640" s="368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1"/>
      <c r="Y640" s="341"/>
      <c r="Z640" s="341"/>
      <c r="AA640" s="341"/>
      <c r="AB640" s="341"/>
      <c r="AC640" s="341"/>
      <c r="AD640" s="341"/>
      <c r="AE640" s="341"/>
      <c r="AF640" s="341"/>
    </row>
    <row r="641" spans="1:32" ht="15">
      <c r="A641" s="341"/>
      <c r="B641" s="365"/>
      <c r="C641" s="365"/>
      <c r="D641" s="366"/>
      <c r="E641" s="366"/>
      <c r="F641" s="367"/>
      <c r="G641" s="367"/>
      <c r="H641" s="366"/>
      <c r="I641" s="366"/>
      <c r="J641" s="368"/>
      <c r="K641" s="368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1"/>
      <c r="Y641" s="341"/>
      <c r="Z641" s="341"/>
      <c r="AA641" s="341"/>
      <c r="AB641" s="341"/>
      <c r="AC641" s="341"/>
      <c r="AD641" s="341"/>
      <c r="AE641" s="341"/>
      <c r="AF641" s="341"/>
    </row>
    <row r="642" spans="1:32" ht="15">
      <c r="A642" s="341"/>
      <c r="B642" s="365"/>
      <c r="C642" s="365"/>
      <c r="D642" s="366"/>
      <c r="E642" s="366"/>
      <c r="F642" s="367"/>
      <c r="G642" s="367"/>
      <c r="H642" s="366"/>
      <c r="I642" s="366"/>
      <c r="J642" s="368"/>
      <c r="K642" s="368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1"/>
      <c r="Y642" s="341"/>
      <c r="Z642" s="341"/>
      <c r="AA642" s="341"/>
      <c r="AB642" s="341"/>
      <c r="AC642" s="341"/>
      <c r="AD642" s="341"/>
      <c r="AE642" s="341"/>
      <c r="AF642" s="341"/>
    </row>
    <row r="643" spans="1:32" ht="15">
      <c r="A643" s="341"/>
      <c r="B643" s="365"/>
      <c r="C643" s="365"/>
      <c r="D643" s="366"/>
      <c r="E643" s="366"/>
      <c r="F643" s="367"/>
      <c r="G643" s="367"/>
      <c r="H643" s="366"/>
      <c r="I643" s="366"/>
      <c r="J643" s="368"/>
      <c r="K643" s="368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1"/>
      <c r="Y643" s="341"/>
      <c r="Z643" s="341"/>
      <c r="AA643" s="341"/>
      <c r="AB643" s="341"/>
      <c r="AC643" s="341"/>
      <c r="AD643" s="341"/>
      <c r="AE643" s="341"/>
      <c r="AF643" s="341"/>
    </row>
    <row r="644" spans="1:32" ht="15">
      <c r="A644" s="341"/>
      <c r="B644" s="365"/>
      <c r="C644" s="365"/>
      <c r="D644" s="366"/>
      <c r="E644" s="366"/>
      <c r="F644" s="367"/>
      <c r="G644" s="367"/>
      <c r="H644" s="366"/>
      <c r="I644" s="366"/>
      <c r="J644" s="368"/>
      <c r="K644" s="368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1"/>
      <c r="Y644" s="341"/>
      <c r="Z644" s="341"/>
      <c r="AA644" s="341"/>
      <c r="AB644" s="341"/>
      <c r="AC644" s="341"/>
      <c r="AD644" s="341"/>
      <c r="AE644" s="341"/>
      <c r="AF644" s="341"/>
    </row>
    <row r="645" spans="1:32" ht="15">
      <c r="A645" s="341"/>
      <c r="B645" s="365"/>
      <c r="C645" s="365"/>
      <c r="D645" s="366"/>
      <c r="E645" s="366"/>
      <c r="F645" s="367"/>
      <c r="G645" s="367"/>
      <c r="H645" s="366"/>
      <c r="I645" s="366"/>
      <c r="J645" s="368"/>
      <c r="K645" s="368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1"/>
      <c r="Y645" s="341"/>
      <c r="Z645" s="341"/>
      <c r="AA645" s="341"/>
      <c r="AB645" s="341"/>
      <c r="AC645" s="341"/>
      <c r="AD645" s="341"/>
      <c r="AE645" s="341"/>
      <c r="AF645" s="341"/>
    </row>
    <row r="646" spans="1:32" ht="15">
      <c r="A646" s="341"/>
      <c r="B646" s="365"/>
      <c r="C646" s="365"/>
      <c r="D646" s="366"/>
      <c r="E646" s="366"/>
      <c r="F646" s="367"/>
      <c r="G646" s="367"/>
      <c r="H646" s="366"/>
      <c r="I646" s="366"/>
      <c r="J646" s="368"/>
      <c r="K646" s="368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1"/>
      <c r="Y646" s="341"/>
      <c r="Z646" s="341"/>
      <c r="AA646" s="341"/>
      <c r="AB646" s="341"/>
      <c r="AC646" s="341"/>
      <c r="AD646" s="341"/>
      <c r="AE646" s="341"/>
      <c r="AF646" s="341"/>
    </row>
    <row r="647" spans="1:32" ht="15">
      <c r="A647" s="341"/>
      <c r="B647" s="365"/>
      <c r="C647" s="365"/>
      <c r="D647" s="366"/>
      <c r="E647" s="366"/>
      <c r="F647" s="367"/>
      <c r="G647" s="367"/>
      <c r="H647" s="366"/>
      <c r="I647" s="366"/>
      <c r="J647" s="368"/>
      <c r="K647" s="368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1"/>
      <c r="Y647" s="341"/>
      <c r="Z647" s="341"/>
      <c r="AA647" s="341"/>
      <c r="AB647" s="341"/>
      <c r="AC647" s="341"/>
      <c r="AD647" s="341"/>
      <c r="AE647" s="341"/>
      <c r="AF647" s="341"/>
    </row>
    <row r="648" spans="1:32" ht="15">
      <c r="A648" s="341"/>
      <c r="B648" s="365"/>
      <c r="C648" s="365"/>
      <c r="D648" s="366"/>
      <c r="E648" s="366"/>
      <c r="F648" s="367"/>
      <c r="G648" s="367"/>
      <c r="H648" s="366"/>
      <c r="I648" s="366"/>
      <c r="J648" s="368"/>
      <c r="K648" s="368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1"/>
      <c r="Y648" s="341"/>
      <c r="Z648" s="341"/>
      <c r="AA648" s="341"/>
      <c r="AB648" s="341"/>
      <c r="AC648" s="341"/>
      <c r="AD648" s="341"/>
      <c r="AE648" s="341"/>
      <c r="AF648" s="341"/>
    </row>
    <row r="649" spans="1:32" ht="15">
      <c r="A649" s="341"/>
      <c r="B649" s="365"/>
      <c r="C649" s="365"/>
      <c r="D649" s="366"/>
      <c r="E649" s="366"/>
      <c r="F649" s="367"/>
      <c r="G649" s="367"/>
      <c r="H649" s="366"/>
      <c r="I649" s="366"/>
      <c r="J649" s="368"/>
      <c r="K649" s="368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1"/>
      <c r="Y649" s="341"/>
      <c r="Z649" s="341"/>
      <c r="AA649" s="341"/>
      <c r="AB649" s="341"/>
      <c r="AC649" s="341"/>
      <c r="AD649" s="341"/>
      <c r="AE649" s="341"/>
      <c r="AF649" s="341"/>
    </row>
    <row r="650" spans="1:32" ht="15">
      <c r="A650" s="341"/>
      <c r="B650" s="365"/>
      <c r="C650" s="365"/>
      <c r="D650" s="366"/>
      <c r="E650" s="366"/>
      <c r="F650" s="367"/>
      <c r="G650" s="367"/>
      <c r="H650" s="366"/>
      <c r="I650" s="366"/>
      <c r="J650" s="368"/>
      <c r="K650" s="368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1"/>
      <c r="Y650" s="341"/>
      <c r="Z650" s="341"/>
      <c r="AA650" s="341"/>
      <c r="AB650" s="341"/>
      <c r="AC650" s="341"/>
      <c r="AD650" s="341"/>
      <c r="AE650" s="341"/>
      <c r="AF650" s="341"/>
    </row>
    <row r="651" spans="1:32" ht="15">
      <c r="A651" s="341"/>
      <c r="B651" s="365"/>
      <c r="C651" s="365"/>
      <c r="D651" s="366"/>
      <c r="E651" s="366"/>
      <c r="F651" s="367"/>
      <c r="G651" s="367"/>
      <c r="H651" s="366"/>
      <c r="I651" s="366"/>
      <c r="J651" s="368"/>
      <c r="K651" s="368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1"/>
      <c r="Y651" s="341"/>
      <c r="Z651" s="341"/>
      <c r="AA651" s="341"/>
      <c r="AB651" s="341"/>
      <c r="AC651" s="341"/>
      <c r="AD651" s="341"/>
      <c r="AE651" s="341"/>
      <c r="AF651" s="341"/>
    </row>
    <row r="652" spans="1:32" ht="15">
      <c r="A652" s="341"/>
      <c r="B652" s="365"/>
      <c r="C652" s="365"/>
      <c r="D652" s="366"/>
      <c r="E652" s="366"/>
      <c r="F652" s="367"/>
      <c r="G652" s="367"/>
      <c r="H652" s="366"/>
      <c r="I652" s="366"/>
      <c r="J652" s="368"/>
      <c r="K652" s="368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1"/>
      <c r="Y652" s="341"/>
      <c r="Z652" s="341"/>
      <c r="AA652" s="341"/>
      <c r="AB652" s="341"/>
      <c r="AC652" s="341"/>
      <c r="AD652" s="341"/>
      <c r="AE652" s="341"/>
      <c r="AF652" s="341"/>
    </row>
    <row r="653" spans="1:32" ht="15">
      <c r="A653" s="341"/>
      <c r="B653" s="365"/>
      <c r="C653" s="365"/>
      <c r="D653" s="366"/>
      <c r="E653" s="366"/>
      <c r="F653" s="367"/>
      <c r="G653" s="367"/>
      <c r="H653" s="366"/>
      <c r="I653" s="366"/>
      <c r="J653" s="368"/>
      <c r="K653" s="368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1"/>
      <c r="Y653" s="341"/>
      <c r="Z653" s="341"/>
      <c r="AA653" s="341"/>
      <c r="AB653" s="341"/>
      <c r="AC653" s="341"/>
      <c r="AD653" s="341"/>
      <c r="AE653" s="341"/>
      <c r="AF653" s="341"/>
    </row>
    <row r="654" spans="1:32" ht="15">
      <c r="A654" s="341"/>
      <c r="B654" s="365"/>
      <c r="C654" s="365"/>
      <c r="D654" s="366"/>
      <c r="E654" s="366"/>
      <c r="F654" s="367"/>
      <c r="G654" s="367"/>
      <c r="H654" s="366"/>
      <c r="I654" s="366"/>
      <c r="J654" s="368"/>
      <c r="K654" s="368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1"/>
      <c r="Y654" s="341"/>
      <c r="Z654" s="341"/>
      <c r="AA654" s="341"/>
      <c r="AB654" s="341"/>
      <c r="AC654" s="341"/>
      <c r="AD654" s="341"/>
      <c r="AE654" s="341"/>
      <c r="AF654" s="341"/>
    </row>
    <row r="655" spans="1:32" ht="15">
      <c r="A655" s="341"/>
      <c r="B655" s="365"/>
      <c r="C655" s="365"/>
      <c r="D655" s="366"/>
      <c r="E655" s="366"/>
      <c r="F655" s="367"/>
      <c r="G655" s="367"/>
      <c r="H655" s="366"/>
      <c r="I655" s="366"/>
      <c r="J655" s="368"/>
      <c r="K655" s="368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1"/>
      <c r="Y655" s="341"/>
      <c r="Z655" s="341"/>
      <c r="AA655" s="341"/>
      <c r="AB655" s="341"/>
      <c r="AC655" s="341"/>
      <c r="AD655" s="341"/>
      <c r="AE655" s="341"/>
      <c r="AF655" s="341"/>
    </row>
    <row r="656" spans="1:32" ht="15">
      <c r="A656" s="341"/>
      <c r="B656" s="365"/>
      <c r="C656" s="365"/>
      <c r="D656" s="366"/>
      <c r="E656" s="366"/>
      <c r="F656" s="367"/>
      <c r="G656" s="367"/>
      <c r="H656" s="366"/>
      <c r="I656" s="366"/>
      <c r="J656" s="368"/>
      <c r="K656" s="368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1"/>
      <c r="Y656" s="341"/>
      <c r="Z656" s="341"/>
      <c r="AA656" s="341"/>
      <c r="AB656" s="341"/>
      <c r="AC656" s="341"/>
      <c r="AD656" s="341"/>
      <c r="AE656" s="341"/>
      <c r="AF656" s="341"/>
    </row>
    <row r="657" spans="1:32" ht="15">
      <c r="A657" s="341"/>
      <c r="B657" s="365"/>
      <c r="C657" s="365"/>
      <c r="D657" s="366"/>
      <c r="E657" s="366"/>
      <c r="F657" s="367"/>
      <c r="G657" s="367"/>
      <c r="H657" s="366"/>
      <c r="I657" s="366"/>
      <c r="J657" s="368"/>
      <c r="K657" s="368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1"/>
      <c r="Y657" s="341"/>
      <c r="Z657" s="341"/>
      <c r="AA657" s="341"/>
      <c r="AB657" s="341"/>
      <c r="AC657" s="341"/>
      <c r="AD657" s="341"/>
      <c r="AE657" s="341"/>
      <c r="AF657" s="341"/>
    </row>
    <row r="658" spans="1:32" ht="15">
      <c r="A658" s="341"/>
      <c r="B658" s="365"/>
      <c r="C658" s="365"/>
      <c r="D658" s="366"/>
      <c r="E658" s="366"/>
      <c r="F658" s="367"/>
      <c r="G658" s="367"/>
      <c r="H658" s="366"/>
      <c r="I658" s="366"/>
      <c r="J658" s="368"/>
      <c r="K658" s="368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1"/>
      <c r="Y658" s="341"/>
      <c r="Z658" s="341"/>
      <c r="AA658" s="341"/>
      <c r="AB658" s="341"/>
      <c r="AC658" s="341"/>
      <c r="AD658" s="341"/>
      <c r="AE658" s="341"/>
      <c r="AF658" s="341"/>
    </row>
    <row r="659" spans="1:32" ht="15">
      <c r="A659" s="341"/>
      <c r="B659" s="365"/>
      <c r="C659" s="365"/>
      <c r="D659" s="366"/>
      <c r="E659" s="366"/>
      <c r="F659" s="367"/>
      <c r="G659" s="367"/>
      <c r="H659" s="366"/>
      <c r="I659" s="366"/>
      <c r="J659" s="368"/>
      <c r="K659" s="368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1"/>
      <c r="Y659" s="341"/>
      <c r="Z659" s="341"/>
      <c r="AA659" s="341"/>
      <c r="AB659" s="341"/>
      <c r="AC659" s="341"/>
      <c r="AD659" s="341"/>
      <c r="AE659" s="341"/>
      <c r="AF659" s="341"/>
    </row>
    <row r="660" spans="1:32" ht="15">
      <c r="A660" s="341"/>
      <c r="B660" s="365"/>
      <c r="C660" s="365"/>
      <c r="D660" s="366"/>
      <c r="E660" s="366"/>
      <c r="F660" s="367"/>
      <c r="G660" s="367"/>
      <c r="H660" s="366"/>
      <c r="I660" s="366"/>
      <c r="J660" s="368"/>
      <c r="K660" s="368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1"/>
      <c r="Y660" s="341"/>
      <c r="Z660" s="341"/>
      <c r="AA660" s="341"/>
      <c r="AB660" s="341"/>
      <c r="AC660" s="341"/>
      <c r="AD660" s="341"/>
      <c r="AE660" s="341"/>
      <c r="AF660" s="341"/>
    </row>
    <row r="661" spans="1:32" ht="15">
      <c r="A661" s="341"/>
      <c r="B661" s="365"/>
      <c r="C661" s="365"/>
      <c r="D661" s="366"/>
      <c r="E661" s="366"/>
      <c r="F661" s="367"/>
      <c r="G661" s="367"/>
      <c r="H661" s="366"/>
      <c r="I661" s="366"/>
      <c r="J661" s="368"/>
      <c r="K661" s="368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1"/>
      <c r="Y661" s="341"/>
      <c r="Z661" s="341"/>
      <c r="AA661" s="341"/>
      <c r="AB661" s="341"/>
      <c r="AC661" s="341"/>
      <c r="AD661" s="341"/>
      <c r="AE661" s="341"/>
      <c r="AF661" s="341"/>
    </row>
    <row r="662" spans="1:32" ht="15">
      <c r="A662" s="341"/>
      <c r="B662" s="365"/>
      <c r="C662" s="365"/>
      <c r="D662" s="366"/>
      <c r="E662" s="366"/>
      <c r="F662" s="367"/>
      <c r="G662" s="367"/>
      <c r="H662" s="366"/>
      <c r="I662" s="366"/>
      <c r="J662" s="368"/>
      <c r="K662" s="368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1"/>
      <c r="Y662" s="341"/>
      <c r="Z662" s="341"/>
      <c r="AA662" s="341"/>
      <c r="AB662" s="341"/>
      <c r="AC662" s="341"/>
      <c r="AD662" s="341"/>
      <c r="AE662" s="341"/>
      <c r="AF662" s="341"/>
    </row>
    <row r="663" spans="1:32" ht="15">
      <c r="A663" s="341"/>
      <c r="B663" s="365"/>
      <c r="C663" s="365"/>
      <c r="D663" s="366"/>
      <c r="E663" s="366"/>
      <c r="F663" s="367"/>
      <c r="G663" s="367"/>
      <c r="H663" s="366"/>
      <c r="I663" s="366"/>
      <c r="J663" s="368"/>
      <c r="K663" s="368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1"/>
      <c r="Y663" s="341"/>
      <c r="Z663" s="341"/>
      <c r="AA663" s="341"/>
      <c r="AB663" s="341"/>
      <c r="AC663" s="341"/>
      <c r="AD663" s="341"/>
      <c r="AE663" s="341"/>
      <c r="AF663" s="341"/>
    </row>
    <row r="664" spans="1:32" ht="15">
      <c r="A664" s="341"/>
      <c r="B664" s="365"/>
      <c r="C664" s="365"/>
      <c r="D664" s="366"/>
      <c r="E664" s="366"/>
      <c r="F664" s="367"/>
      <c r="G664" s="367"/>
      <c r="H664" s="366"/>
      <c r="I664" s="366"/>
      <c r="J664" s="368"/>
      <c r="K664" s="368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341"/>
      <c r="Z664" s="341"/>
      <c r="AA664" s="341"/>
      <c r="AB664" s="341"/>
      <c r="AC664" s="341"/>
      <c r="AD664" s="341"/>
      <c r="AE664" s="341"/>
      <c r="AF664" s="341"/>
    </row>
    <row r="665" spans="1:32" ht="15">
      <c r="A665" s="341"/>
      <c r="B665" s="365"/>
      <c r="C665" s="365"/>
      <c r="D665" s="366"/>
      <c r="E665" s="366"/>
      <c r="F665" s="367"/>
      <c r="G665" s="367"/>
      <c r="H665" s="366"/>
      <c r="I665" s="366"/>
      <c r="J665" s="368"/>
      <c r="K665" s="368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341"/>
      <c r="Z665" s="341"/>
      <c r="AA665" s="341"/>
      <c r="AB665" s="341"/>
      <c r="AC665" s="341"/>
      <c r="AD665" s="341"/>
      <c r="AE665" s="341"/>
      <c r="AF665" s="341"/>
    </row>
    <row r="666" spans="1:32" ht="15">
      <c r="A666" s="341"/>
      <c r="B666" s="365"/>
      <c r="C666" s="365"/>
      <c r="D666" s="366"/>
      <c r="E666" s="366"/>
      <c r="F666" s="367"/>
      <c r="G666" s="367"/>
      <c r="H666" s="366"/>
      <c r="I666" s="366"/>
      <c r="J666" s="368"/>
      <c r="K666" s="368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1"/>
      <c r="Y666" s="341"/>
      <c r="Z666" s="341"/>
      <c r="AA666" s="341"/>
      <c r="AB666" s="341"/>
      <c r="AC666" s="341"/>
      <c r="AD666" s="341"/>
      <c r="AE666" s="341"/>
      <c r="AF666" s="341"/>
    </row>
    <row r="667" spans="1:32" ht="15">
      <c r="A667" s="341"/>
      <c r="B667" s="365"/>
      <c r="C667" s="365"/>
      <c r="D667" s="366"/>
      <c r="E667" s="366"/>
      <c r="F667" s="367"/>
      <c r="G667" s="367"/>
      <c r="H667" s="366"/>
      <c r="I667" s="366"/>
      <c r="J667" s="368"/>
      <c r="K667" s="368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341"/>
      <c r="Z667" s="341"/>
      <c r="AA667" s="341"/>
      <c r="AB667" s="341"/>
      <c r="AC667" s="341"/>
      <c r="AD667" s="341"/>
      <c r="AE667" s="341"/>
      <c r="AF667" s="341"/>
    </row>
    <row r="668" spans="1:32" ht="15">
      <c r="A668" s="341"/>
      <c r="B668" s="365"/>
      <c r="C668" s="365"/>
      <c r="D668" s="366"/>
      <c r="E668" s="366"/>
      <c r="F668" s="367"/>
      <c r="G668" s="367"/>
      <c r="H668" s="366"/>
      <c r="I668" s="366"/>
      <c r="J668" s="368"/>
      <c r="K668" s="368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1"/>
      <c r="Y668" s="341"/>
      <c r="Z668" s="341"/>
      <c r="AA668" s="341"/>
      <c r="AB668" s="341"/>
      <c r="AC668" s="341"/>
      <c r="AD668" s="341"/>
      <c r="AE668" s="341"/>
      <c r="AF668" s="341"/>
    </row>
    <row r="669" spans="1:32" ht="15">
      <c r="A669" s="341"/>
      <c r="B669" s="365"/>
      <c r="C669" s="365"/>
      <c r="D669" s="366"/>
      <c r="E669" s="366"/>
      <c r="F669" s="367"/>
      <c r="G669" s="367"/>
      <c r="H669" s="366"/>
      <c r="I669" s="366"/>
      <c r="J669" s="368"/>
      <c r="K669" s="368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1"/>
      <c r="Y669" s="341"/>
      <c r="Z669" s="341"/>
      <c r="AA669" s="341"/>
      <c r="AB669" s="341"/>
      <c r="AC669" s="341"/>
      <c r="AD669" s="341"/>
      <c r="AE669" s="341"/>
      <c r="AF669" s="341"/>
    </row>
    <row r="670" spans="1:32" ht="15">
      <c r="A670" s="341"/>
      <c r="B670" s="365"/>
      <c r="C670" s="365"/>
      <c r="D670" s="366"/>
      <c r="E670" s="366"/>
      <c r="F670" s="367"/>
      <c r="G670" s="367"/>
      <c r="H670" s="366"/>
      <c r="I670" s="366"/>
      <c r="J670" s="368"/>
      <c r="K670" s="368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1"/>
      <c r="Y670" s="341"/>
      <c r="Z670" s="341"/>
      <c r="AA670" s="341"/>
      <c r="AB670" s="341"/>
      <c r="AC670" s="341"/>
      <c r="AD670" s="341"/>
      <c r="AE670" s="341"/>
      <c r="AF670" s="341"/>
    </row>
    <row r="671" spans="1:32" ht="15">
      <c r="A671" s="341"/>
      <c r="B671" s="365"/>
      <c r="C671" s="365"/>
      <c r="D671" s="366"/>
      <c r="E671" s="366"/>
      <c r="F671" s="367"/>
      <c r="G671" s="367"/>
      <c r="H671" s="366"/>
      <c r="I671" s="366"/>
      <c r="J671" s="368"/>
      <c r="K671" s="368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1"/>
      <c r="Y671" s="341"/>
      <c r="Z671" s="341"/>
      <c r="AA671" s="341"/>
      <c r="AB671" s="341"/>
      <c r="AC671" s="341"/>
      <c r="AD671" s="341"/>
      <c r="AE671" s="341"/>
      <c r="AF671" s="341"/>
    </row>
    <row r="672" spans="1:32" ht="15">
      <c r="A672" s="341"/>
      <c r="B672" s="365"/>
      <c r="C672" s="365"/>
      <c r="D672" s="366"/>
      <c r="E672" s="366"/>
      <c r="F672" s="367"/>
      <c r="G672" s="367"/>
      <c r="H672" s="366"/>
      <c r="I672" s="366"/>
      <c r="J672" s="368"/>
      <c r="K672" s="368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1"/>
      <c r="Y672" s="341"/>
      <c r="Z672" s="341"/>
      <c r="AA672" s="341"/>
      <c r="AB672" s="341"/>
      <c r="AC672" s="341"/>
      <c r="AD672" s="341"/>
      <c r="AE672" s="341"/>
      <c r="AF672" s="341"/>
    </row>
    <row r="673" spans="1:32" ht="15">
      <c r="A673" s="341"/>
      <c r="B673" s="365"/>
      <c r="C673" s="365"/>
      <c r="D673" s="366"/>
      <c r="E673" s="366"/>
      <c r="F673" s="367"/>
      <c r="G673" s="367"/>
      <c r="H673" s="366"/>
      <c r="I673" s="366"/>
      <c r="J673" s="368"/>
      <c r="K673" s="368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341"/>
      <c r="Z673" s="341"/>
      <c r="AA673" s="341"/>
      <c r="AB673" s="341"/>
      <c r="AC673" s="341"/>
      <c r="AD673" s="341"/>
      <c r="AE673" s="341"/>
      <c r="AF673" s="341"/>
    </row>
    <row r="674" spans="1:32" ht="15">
      <c r="A674" s="341"/>
      <c r="B674" s="365"/>
      <c r="C674" s="365"/>
      <c r="D674" s="366"/>
      <c r="E674" s="366"/>
      <c r="F674" s="367"/>
      <c r="G674" s="367"/>
      <c r="H674" s="366"/>
      <c r="I674" s="366"/>
      <c r="J674" s="368"/>
      <c r="K674" s="368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1"/>
      <c r="Y674" s="341"/>
      <c r="Z674" s="341"/>
      <c r="AA674" s="341"/>
      <c r="AB674" s="341"/>
      <c r="AC674" s="341"/>
      <c r="AD674" s="341"/>
      <c r="AE674" s="341"/>
      <c r="AF674" s="341"/>
    </row>
    <row r="675" spans="1:32" ht="15">
      <c r="A675" s="341"/>
      <c r="B675" s="365"/>
      <c r="C675" s="365"/>
      <c r="D675" s="366"/>
      <c r="E675" s="366"/>
      <c r="F675" s="367"/>
      <c r="G675" s="367"/>
      <c r="H675" s="366"/>
      <c r="I675" s="366"/>
      <c r="J675" s="368"/>
      <c r="K675" s="368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341"/>
      <c r="Z675" s="341"/>
      <c r="AA675" s="341"/>
      <c r="AB675" s="341"/>
      <c r="AC675" s="341"/>
      <c r="AD675" s="341"/>
      <c r="AE675" s="341"/>
      <c r="AF675" s="341"/>
    </row>
    <row r="676" spans="1:32" ht="15">
      <c r="A676" s="341"/>
      <c r="B676" s="365"/>
      <c r="C676" s="365"/>
      <c r="D676" s="366"/>
      <c r="E676" s="366"/>
      <c r="F676" s="367"/>
      <c r="G676" s="367"/>
      <c r="H676" s="366"/>
      <c r="I676" s="366"/>
      <c r="J676" s="368"/>
      <c r="K676" s="368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341"/>
      <c r="Z676" s="341"/>
      <c r="AA676" s="341"/>
      <c r="AB676" s="341"/>
      <c r="AC676" s="341"/>
      <c r="AD676" s="341"/>
      <c r="AE676" s="341"/>
      <c r="AF676" s="341"/>
    </row>
    <row r="677" spans="1:32" ht="15">
      <c r="A677" s="341"/>
      <c r="B677" s="365"/>
      <c r="C677" s="365"/>
      <c r="D677" s="366"/>
      <c r="E677" s="366"/>
      <c r="F677" s="367"/>
      <c r="G677" s="367"/>
      <c r="H677" s="366"/>
      <c r="I677" s="366"/>
      <c r="J677" s="368"/>
      <c r="K677" s="368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341"/>
      <c r="Z677" s="341"/>
      <c r="AA677" s="341"/>
      <c r="AB677" s="341"/>
      <c r="AC677" s="341"/>
      <c r="AD677" s="341"/>
      <c r="AE677" s="341"/>
      <c r="AF677" s="341"/>
    </row>
    <row r="678" spans="1:32" ht="15">
      <c r="A678" s="341"/>
      <c r="B678" s="365"/>
      <c r="C678" s="365"/>
      <c r="D678" s="366"/>
      <c r="E678" s="366"/>
      <c r="F678" s="367"/>
      <c r="G678" s="367"/>
      <c r="H678" s="366"/>
      <c r="I678" s="366"/>
      <c r="J678" s="368"/>
      <c r="K678" s="368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1"/>
      <c r="Y678" s="341"/>
      <c r="Z678" s="341"/>
      <c r="AA678" s="341"/>
      <c r="AB678" s="341"/>
      <c r="AC678" s="341"/>
      <c r="AD678" s="341"/>
      <c r="AE678" s="341"/>
      <c r="AF678" s="341"/>
    </row>
    <row r="679" spans="1:32" ht="15">
      <c r="A679" s="341"/>
      <c r="B679" s="365"/>
      <c r="C679" s="365"/>
      <c r="D679" s="366"/>
      <c r="E679" s="366"/>
      <c r="F679" s="367"/>
      <c r="G679" s="367"/>
      <c r="H679" s="366"/>
      <c r="I679" s="366"/>
      <c r="J679" s="368"/>
      <c r="K679" s="368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1"/>
      <c r="Y679" s="341"/>
      <c r="Z679" s="341"/>
      <c r="AA679" s="341"/>
      <c r="AB679" s="341"/>
      <c r="AC679" s="341"/>
      <c r="AD679" s="341"/>
      <c r="AE679" s="341"/>
      <c r="AF679" s="341"/>
    </row>
    <row r="680" spans="1:32" ht="15">
      <c r="A680" s="341"/>
      <c r="B680" s="365"/>
      <c r="C680" s="365"/>
      <c r="D680" s="366"/>
      <c r="E680" s="366"/>
      <c r="F680" s="367"/>
      <c r="G680" s="367"/>
      <c r="H680" s="366"/>
      <c r="I680" s="366"/>
      <c r="J680" s="368"/>
      <c r="K680" s="368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1"/>
      <c r="Y680" s="341"/>
      <c r="Z680" s="341"/>
      <c r="AA680" s="341"/>
      <c r="AB680" s="341"/>
      <c r="AC680" s="341"/>
      <c r="AD680" s="341"/>
      <c r="AE680" s="341"/>
      <c r="AF680" s="341"/>
    </row>
    <row r="681" spans="1:32" ht="15">
      <c r="A681" s="341"/>
      <c r="B681" s="365"/>
      <c r="C681" s="365"/>
      <c r="D681" s="366"/>
      <c r="E681" s="366"/>
      <c r="F681" s="367"/>
      <c r="G681" s="367"/>
      <c r="H681" s="366"/>
      <c r="I681" s="366"/>
      <c r="J681" s="368"/>
      <c r="K681" s="368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1"/>
      <c r="Y681" s="341"/>
      <c r="Z681" s="341"/>
      <c r="AA681" s="341"/>
      <c r="AB681" s="341"/>
      <c r="AC681" s="341"/>
      <c r="AD681" s="341"/>
      <c r="AE681" s="341"/>
      <c r="AF681" s="341"/>
    </row>
    <row r="682" spans="1:32" ht="15">
      <c r="A682" s="341"/>
      <c r="B682" s="365"/>
      <c r="C682" s="365"/>
      <c r="D682" s="366"/>
      <c r="E682" s="366"/>
      <c r="F682" s="367"/>
      <c r="G682" s="367"/>
      <c r="H682" s="366"/>
      <c r="I682" s="366"/>
      <c r="J682" s="368"/>
      <c r="K682" s="368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1"/>
      <c r="Y682" s="341"/>
      <c r="Z682" s="341"/>
      <c r="AA682" s="341"/>
      <c r="AB682" s="341"/>
      <c r="AC682" s="341"/>
      <c r="AD682" s="341"/>
      <c r="AE682" s="341"/>
      <c r="AF682" s="341"/>
    </row>
    <row r="683" spans="1:32" ht="15">
      <c r="A683" s="341"/>
      <c r="B683" s="365"/>
      <c r="C683" s="365"/>
      <c r="D683" s="366"/>
      <c r="E683" s="366"/>
      <c r="F683" s="367"/>
      <c r="G683" s="367"/>
      <c r="H683" s="366"/>
      <c r="I683" s="366"/>
      <c r="J683" s="368"/>
      <c r="K683" s="368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1"/>
      <c r="Y683" s="341"/>
      <c r="Z683" s="341"/>
      <c r="AA683" s="341"/>
      <c r="AB683" s="341"/>
      <c r="AC683" s="341"/>
      <c r="AD683" s="341"/>
      <c r="AE683" s="341"/>
      <c r="AF683" s="341"/>
    </row>
    <row r="684" spans="1:32" ht="15">
      <c r="A684" s="341"/>
      <c r="B684" s="365"/>
      <c r="C684" s="365"/>
      <c r="D684" s="366"/>
      <c r="E684" s="366"/>
      <c r="F684" s="367"/>
      <c r="G684" s="367"/>
      <c r="H684" s="366"/>
      <c r="I684" s="366"/>
      <c r="J684" s="368"/>
      <c r="K684" s="368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1"/>
      <c r="Y684" s="341"/>
      <c r="Z684" s="341"/>
      <c r="AA684" s="341"/>
      <c r="AB684" s="341"/>
      <c r="AC684" s="341"/>
      <c r="AD684" s="341"/>
      <c r="AE684" s="341"/>
      <c r="AF684" s="341"/>
    </row>
    <row r="685" spans="1:32" ht="15">
      <c r="A685" s="341"/>
      <c r="B685" s="365"/>
      <c r="C685" s="365"/>
      <c r="D685" s="366"/>
      <c r="E685" s="366"/>
      <c r="F685" s="367"/>
      <c r="G685" s="367"/>
      <c r="H685" s="366"/>
      <c r="I685" s="366"/>
      <c r="J685" s="368"/>
      <c r="K685" s="368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1"/>
      <c r="Y685" s="341"/>
      <c r="Z685" s="341"/>
      <c r="AA685" s="341"/>
      <c r="AB685" s="341"/>
      <c r="AC685" s="341"/>
      <c r="AD685" s="341"/>
      <c r="AE685" s="341"/>
      <c r="AF685" s="341"/>
    </row>
    <row r="686" spans="1:32" ht="15">
      <c r="A686" s="341"/>
      <c r="B686" s="365"/>
      <c r="C686" s="365"/>
      <c r="D686" s="366"/>
      <c r="E686" s="366"/>
      <c r="F686" s="367"/>
      <c r="G686" s="367"/>
      <c r="H686" s="366"/>
      <c r="I686" s="366"/>
      <c r="J686" s="368"/>
      <c r="K686" s="368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1"/>
      <c r="Y686" s="341"/>
      <c r="Z686" s="341"/>
      <c r="AA686" s="341"/>
      <c r="AB686" s="341"/>
      <c r="AC686" s="341"/>
      <c r="AD686" s="341"/>
      <c r="AE686" s="341"/>
      <c r="AF686" s="341"/>
    </row>
    <row r="687" spans="1:32" ht="15">
      <c r="A687" s="341"/>
      <c r="B687" s="365"/>
      <c r="C687" s="365"/>
      <c r="D687" s="366"/>
      <c r="E687" s="366"/>
      <c r="F687" s="367"/>
      <c r="G687" s="367"/>
      <c r="H687" s="366"/>
      <c r="I687" s="366"/>
      <c r="J687" s="368"/>
      <c r="K687" s="368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1"/>
      <c r="Y687" s="341"/>
      <c r="Z687" s="341"/>
      <c r="AA687" s="341"/>
      <c r="AB687" s="341"/>
      <c r="AC687" s="341"/>
      <c r="AD687" s="341"/>
      <c r="AE687" s="341"/>
      <c r="AF687" s="341"/>
    </row>
    <row r="688" spans="1:32" ht="15">
      <c r="A688" s="341"/>
      <c r="B688" s="365"/>
      <c r="C688" s="365"/>
      <c r="D688" s="366"/>
      <c r="E688" s="366"/>
      <c r="F688" s="367"/>
      <c r="G688" s="367"/>
      <c r="H688" s="366"/>
      <c r="I688" s="366"/>
      <c r="J688" s="368"/>
      <c r="K688" s="368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1"/>
      <c r="Y688" s="341"/>
      <c r="Z688" s="341"/>
      <c r="AA688" s="341"/>
      <c r="AB688" s="341"/>
      <c r="AC688" s="341"/>
      <c r="AD688" s="341"/>
      <c r="AE688" s="341"/>
      <c r="AF688" s="341"/>
    </row>
    <row r="689" spans="1:32" ht="15">
      <c r="A689" s="341"/>
      <c r="B689" s="365"/>
      <c r="C689" s="365"/>
      <c r="D689" s="366"/>
      <c r="E689" s="366"/>
      <c r="F689" s="367"/>
      <c r="G689" s="367"/>
      <c r="H689" s="366"/>
      <c r="I689" s="366"/>
      <c r="J689" s="368"/>
      <c r="K689" s="368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1"/>
      <c r="Y689" s="341"/>
      <c r="Z689" s="341"/>
      <c r="AA689" s="341"/>
      <c r="AB689" s="341"/>
      <c r="AC689" s="341"/>
      <c r="AD689" s="341"/>
      <c r="AE689" s="341"/>
      <c r="AF689" s="341"/>
    </row>
    <row r="690" spans="1:32" ht="15">
      <c r="A690" s="341"/>
      <c r="B690" s="365"/>
      <c r="C690" s="365"/>
      <c r="D690" s="366"/>
      <c r="E690" s="366"/>
      <c r="F690" s="367"/>
      <c r="G690" s="367"/>
      <c r="H690" s="366"/>
      <c r="I690" s="366"/>
      <c r="J690" s="368"/>
      <c r="K690" s="368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341"/>
      <c r="Z690" s="341"/>
      <c r="AA690" s="341"/>
      <c r="AB690" s="341"/>
      <c r="AC690" s="341"/>
      <c r="AD690" s="341"/>
      <c r="AE690" s="341"/>
      <c r="AF690" s="341"/>
    </row>
    <row r="691" spans="1:32" ht="15">
      <c r="A691" s="341"/>
      <c r="B691" s="365"/>
      <c r="C691" s="365"/>
      <c r="D691" s="366"/>
      <c r="E691" s="366"/>
      <c r="F691" s="367"/>
      <c r="G691" s="367"/>
      <c r="H691" s="366"/>
      <c r="I691" s="366"/>
      <c r="J691" s="368"/>
      <c r="K691" s="368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1"/>
      <c r="Y691" s="341"/>
      <c r="Z691" s="341"/>
      <c r="AA691" s="341"/>
      <c r="AB691" s="341"/>
      <c r="AC691" s="341"/>
      <c r="AD691" s="341"/>
      <c r="AE691" s="341"/>
      <c r="AF691" s="341"/>
    </row>
    <row r="692" spans="1:32" ht="15">
      <c r="A692" s="341"/>
      <c r="B692" s="365"/>
      <c r="C692" s="365"/>
      <c r="D692" s="366"/>
      <c r="E692" s="366"/>
      <c r="F692" s="367"/>
      <c r="G692" s="367"/>
      <c r="H692" s="366"/>
      <c r="I692" s="366"/>
      <c r="J692" s="368"/>
      <c r="K692" s="368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1"/>
      <c r="Y692" s="341"/>
      <c r="Z692" s="341"/>
      <c r="AA692" s="341"/>
      <c r="AB692" s="341"/>
      <c r="AC692" s="341"/>
      <c r="AD692" s="341"/>
      <c r="AE692" s="341"/>
      <c r="AF692" s="341"/>
    </row>
    <row r="693" spans="1:32" ht="15">
      <c r="A693" s="341"/>
      <c r="B693" s="365"/>
      <c r="C693" s="365"/>
      <c r="D693" s="366"/>
      <c r="E693" s="366"/>
      <c r="F693" s="367"/>
      <c r="G693" s="367"/>
      <c r="H693" s="366"/>
      <c r="I693" s="366"/>
      <c r="J693" s="368"/>
      <c r="K693" s="368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1"/>
      <c r="Y693" s="341"/>
      <c r="Z693" s="341"/>
      <c r="AA693" s="341"/>
      <c r="AB693" s="341"/>
      <c r="AC693" s="341"/>
      <c r="AD693" s="341"/>
      <c r="AE693" s="341"/>
      <c r="AF693" s="341"/>
    </row>
    <row r="694" spans="1:32" ht="15">
      <c r="A694" s="341"/>
      <c r="B694" s="365"/>
      <c r="C694" s="365"/>
      <c r="D694" s="366"/>
      <c r="E694" s="366"/>
      <c r="F694" s="367"/>
      <c r="G694" s="367"/>
      <c r="H694" s="366"/>
      <c r="I694" s="366"/>
      <c r="J694" s="368"/>
      <c r="K694" s="368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1"/>
      <c r="Y694" s="341"/>
      <c r="Z694" s="341"/>
      <c r="AA694" s="341"/>
      <c r="AB694" s="341"/>
      <c r="AC694" s="341"/>
      <c r="AD694" s="341"/>
      <c r="AE694" s="341"/>
      <c r="AF694" s="341"/>
    </row>
    <row r="695" spans="1:32" ht="15">
      <c r="A695" s="341"/>
      <c r="B695" s="365"/>
      <c r="C695" s="365"/>
      <c r="D695" s="366"/>
      <c r="E695" s="366"/>
      <c r="F695" s="367"/>
      <c r="G695" s="367"/>
      <c r="H695" s="366"/>
      <c r="I695" s="366"/>
      <c r="J695" s="368"/>
      <c r="K695" s="368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1"/>
      <c r="Y695" s="341"/>
      <c r="Z695" s="341"/>
      <c r="AA695" s="341"/>
      <c r="AB695" s="341"/>
      <c r="AC695" s="341"/>
      <c r="AD695" s="341"/>
      <c r="AE695" s="341"/>
      <c r="AF695" s="341"/>
    </row>
    <row r="696" spans="1:32" ht="15">
      <c r="A696" s="341"/>
      <c r="B696" s="365"/>
      <c r="C696" s="365"/>
      <c r="D696" s="366"/>
      <c r="E696" s="366"/>
      <c r="F696" s="367"/>
      <c r="G696" s="367"/>
      <c r="H696" s="366"/>
      <c r="I696" s="366"/>
      <c r="J696" s="368"/>
      <c r="K696" s="368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1"/>
      <c r="Y696" s="341"/>
      <c r="Z696" s="341"/>
      <c r="AA696" s="341"/>
      <c r="AB696" s="341"/>
      <c r="AC696" s="341"/>
      <c r="AD696" s="341"/>
      <c r="AE696" s="341"/>
      <c r="AF696" s="341"/>
    </row>
    <row r="697" spans="1:32" ht="15">
      <c r="A697" s="341"/>
      <c r="B697" s="365"/>
      <c r="C697" s="365"/>
      <c r="D697" s="366"/>
      <c r="E697" s="366"/>
      <c r="F697" s="367"/>
      <c r="G697" s="367"/>
      <c r="H697" s="366"/>
      <c r="I697" s="366"/>
      <c r="J697" s="368"/>
      <c r="K697" s="368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1"/>
      <c r="Y697" s="341"/>
      <c r="Z697" s="341"/>
      <c r="AA697" s="341"/>
      <c r="AB697" s="341"/>
      <c r="AC697" s="341"/>
      <c r="AD697" s="341"/>
      <c r="AE697" s="341"/>
      <c r="AF697" s="341"/>
    </row>
    <row r="698" spans="1:32" ht="15">
      <c r="A698" s="341"/>
      <c r="B698" s="365"/>
      <c r="C698" s="365"/>
      <c r="D698" s="366"/>
      <c r="E698" s="366"/>
      <c r="F698" s="367"/>
      <c r="G698" s="367"/>
      <c r="H698" s="366"/>
      <c r="I698" s="366"/>
      <c r="J698" s="368"/>
      <c r="K698" s="368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341"/>
      <c r="Z698" s="341"/>
      <c r="AA698" s="341"/>
      <c r="AB698" s="341"/>
      <c r="AC698" s="341"/>
      <c r="AD698" s="341"/>
      <c r="AE698" s="341"/>
      <c r="AF698" s="341"/>
    </row>
    <row r="699" spans="1:32" ht="15">
      <c r="A699" s="341"/>
      <c r="B699" s="365"/>
      <c r="C699" s="365"/>
      <c r="D699" s="366"/>
      <c r="E699" s="366"/>
      <c r="F699" s="367"/>
      <c r="G699" s="367"/>
      <c r="H699" s="366"/>
      <c r="I699" s="366"/>
      <c r="J699" s="368"/>
      <c r="K699" s="368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341"/>
      <c r="Z699" s="341"/>
      <c r="AA699" s="341"/>
      <c r="AB699" s="341"/>
      <c r="AC699" s="341"/>
      <c r="AD699" s="341"/>
      <c r="AE699" s="341"/>
      <c r="AF699" s="341"/>
    </row>
    <row r="700" spans="1:32" ht="15">
      <c r="A700" s="341"/>
      <c r="B700" s="365"/>
      <c r="C700" s="365"/>
      <c r="D700" s="366"/>
      <c r="E700" s="366"/>
      <c r="F700" s="367"/>
      <c r="G700" s="367"/>
      <c r="H700" s="366"/>
      <c r="I700" s="366"/>
      <c r="J700" s="368"/>
      <c r="K700" s="368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1"/>
      <c r="Y700" s="341"/>
      <c r="Z700" s="341"/>
      <c r="AA700" s="341"/>
      <c r="AB700" s="341"/>
      <c r="AC700" s="341"/>
      <c r="AD700" s="341"/>
      <c r="AE700" s="341"/>
      <c r="AF700" s="341"/>
    </row>
    <row r="701" spans="1:32" ht="15">
      <c r="A701" s="341"/>
      <c r="B701" s="365"/>
      <c r="C701" s="365"/>
      <c r="D701" s="366"/>
      <c r="E701" s="366"/>
      <c r="F701" s="367"/>
      <c r="G701" s="367"/>
      <c r="H701" s="366"/>
      <c r="I701" s="366"/>
      <c r="J701" s="368"/>
      <c r="K701" s="368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1"/>
      <c r="Y701" s="341"/>
      <c r="Z701" s="341"/>
      <c r="AA701" s="341"/>
      <c r="AB701" s="341"/>
      <c r="AC701" s="341"/>
      <c r="AD701" s="341"/>
      <c r="AE701" s="341"/>
      <c r="AF701" s="341"/>
    </row>
    <row r="702" spans="1:32" ht="15">
      <c r="A702" s="341"/>
      <c r="B702" s="365"/>
      <c r="C702" s="365"/>
      <c r="D702" s="366"/>
      <c r="E702" s="366"/>
      <c r="F702" s="367"/>
      <c r="G702" s="367"/>
      <c r="H702" s="366"/>
      <c r="I702" s="366"/>
      <c r="J702" s="368"/>
      <c r="K702" s="368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341"/>
      <c r="Z702" s="341"/>
      <c r="AA702" s="341"/>
      <c r="AB702" s="341"/>
      <c r="AC702" s="341"/>
      <c r="AD702" s="341"/>
      <c r="AE702" s="341"/>
      <c r="AF702" s="341"/>
    </row>
    <row r="703" spans="1:32" ht="15">
      <c r="A703" s="341"/>
      <c r="B703" s="365"/>
      <c r="C703" s="365"/>
      <c r="D703" s="366"/>
      <c r="E703" s="366"/>
      <c r="F703" s="367"/>
      <c r="G703" s="367"/>
      <c r="H703" s="366"/>
      <c r="I703" s="366"/>
      <c r="J703" s="368"/>
      <c r="K703" s="368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1"/>
      <c r="Y703" s="341"/>
      <c r="Z703" s="341"/>
      <c r="AA703" s="341"/>
      <c r="AB703" s="341"/>
      <c r="AC703" s="341"/>
      <c r="AD703" s="341"/>
      <c r="AE703" s="341"/>
      <c r="AF703" s="341"/>
    </row>
    <row r="704" spans="1:32" ht="15">
      <c r="A704" s="341"/>
      <c r="B704" s="365"/>
      <c r="C704" s="365"/>
      <c r="D704" s="366"/>
      <c r="E704" s="366"/>
      <c r="F704" s="367"/>
      <c r="G704" s="367"/>
      <c r="H704" s="366"/>
      <c r="I704" s="366"/>
      <c r="J704" s="368"/>
      <c r="K704" s="368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1"/>
      <c r="Y704" s="341"/>
      <c r="Z704" s="341"/>
      <c r="AA704" s="341"/>
      <c r="AB704" s="341"/>
      <c r="AC704" s="341"/>
      <c r="AD704" s="341"/>
      <c r="AE704" s="341"/>
      <c r="AF704" s="341"/>
    </row>
    <row r="705" spans="1:32" ht="15">
      <c r="A705" s="341"/>
      <c r="B705" s="365"/>
      <c r="C705" s="365"/>
      <c r="D705" s="366"/>
      <c r="E705" s="366"/>
      <c r="F705" s="367"/>
      <c r="G705" s="367"/>
      <c r="H705" s="366"/>
      <c r="I705" s="366"/>
      <c r="J705" s="368"/>
      <c r="K705" s="368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1"/>
      <c r="Y705" s="341"/>
      <c r="Z705" s="341"/>
      <c r="AA705" s="341"/>
      <c r="AB705" s="341"/>
      <c r="AC705" s="341"/>
      <c r="AD705" s="341"/>
      <c r="AE705" s="341"/>
      <c r="AF705" s="341"/>
    </row>
    <row r="706" spans="1:32" ht="15">
      <c r="A706" s="341"/>
      <c r="B706" s="365"/>
      <c r="C706" s="365"/>
      <c r="D706" s="366"/>
      <c r="E706" s="366"/>
      <c r="F706" s="367"/>
      <c r="G706" s="367"/>
      <c r="H706" s="366"/>
      <c r="I706" s="366"/>
      <c r="J706" s="368"/>
      <c r="K706" s="368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1"/>
      <c r="Y706" s="341"/>
      <c r="Z706" s="341"/>
      <c r="AA706" s="341"/>
      <c r="AB706" s="341"/>
      <c r="AC706" s="341"/>
      <c r="AD706" s="341"/>
      <c r="AE706" s="341"/>
      <c r="AF706" s="341"/>
    </row>
    <row r="707" spans="1:32" ht="15">
      <c r="A707" s="341"/>
      <c r="B707" s="365"/>
      <c r="C707" s="365"/>
      <c r="D707" s="366"/>
      <c r="E707" s="366"/>
      <c r="F707" s="367"/>
      <c r="G707" s="367"/>
      <c r="H707" s="366"/>
      <c r="I707" s="366"/>
      <c r="J707" s="368"/>
      <c r="K707" s="368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341"/>
      <c r="Z707" s="341"/>
      <c r="AA707" s="341"/>
      <c r="AB707" s="341"/>
      <c r="AC707" s="341"/>
      <c r="AD707" s="341"/>
      <c r="AE707" s="341"/>
      <c r="AF707" s="341"/>
    </row>
    <row r="708" spans="1:32" ht="15">
      <c r="A708" s="341"/>
      <c r="B708" s="365"/>
      <c r="C708" s="365"/>
      <c r="D708" s="366"/>
      <c r="E708" s="366"/>
      <c r="F708" s="367"/>
      <c r="G708" s="367"/>
      <c r="H708" s="366"/>
      <c r="I708" s="366"/>
      <c r="J708" s="368"/>
      <c r="K708" s="368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1"/>
      <c r="Y708" s="341"/>
      <c r="Z708" s="341"/>
      <c r="AA708" s="341"/>
      <c r="AB708" s="341"/>
      <c r="AC708" s="341"/>
      <c r="AD708" s="341"/>
      <c r="AE708" s="341"/>
      <c r="AF708" s="341"/>
    </row>
    <row r="709" spans="1:32" ht="15">
      <c r="A709" s="341"/>
      <c r="B709" s="365"/>
      <c r="C709" s="365"/>
      <c r="D709" s="366"/>
      <c r="E709" s="366"/>
      <c r="F709" s="367"/>
      <c r="G709" s="367"/>
      <c r="H709" s="366"/>
      <c r="I709" s="366"/>
      <c r="J709" s="368"/>
      <c r="K709" s="368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1"/>
      <c r="Y709" s="341"/>
      <c r="Z709" s="341"/>
      <c r="AA709" s="341"/>
      <c r="AB709" s="341"/>
      <c r="AC709" s="341"/>
      <c r="AD709" s="341"/>
      <c r="AE709" s="341"/>
      <c r="AF709" s="341"/>
    </row>
    <row r="710" spans="1:32" ht="15">
      <c r="A710" s="341"/>
      <c r="B710" s="365"/>
      <c r="C710" s="365"/>
      <c r="D710" s="366"/>
      <c r="E710" s="366"/>
      <c r="F710" s="367"/>
      <c r="G710" s="367"/>
      <c r="H710" s="366"/>
      <c r="I710" s="366"/>
      <c r="J710" s="368"/>
      <c r="K710" s="368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1"/>
      <c r="Y710" s="341"/>
      <c r="Z710" s="341"/>
      <c r="AA710" s="341"/>
      <c r="AB710" s="341"/>
      <c r="AC710" s="341"/>
      <c r="AD710" s="341"/>
      <c r="AE710" s="341"/>
      <c r="AF710" s="341"/>
    </row>
    <row r="711" spans="1:32" ht="15">
      <c r="A711" s="341"/>
      <c r="B711" s="365"/>
      <c r="C711" s="365"/>
      <c r="D711" s="366"/>
      <c r="E711" s="366"/>
      <c r="F711" s="367"/>
      <c r="G711" s="367"/>
      <c r="H711" s="366"/>
      <c r="I711" s="366"/>
      <c r="J711" s="368"/>
      <c r="K711" s="368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1"/>
      <c r="Y711" s="341"/>
      <c r="Z711" s="341"/>
      <c r="AA711" s="341"/>
      <c r="AB711" s="341"/>
      <c r="AC711" s="341"/>
      <c r="AD711" s="341"/>
      <c r="AE711" s="341"/>
      <c r="AF711" s="341"/>
    </row>
    <row r="712" spans="1:32" ht="15">
      <c r="A712" s="341"/>
      <c r="B712" s="365"/>
      <c r="C712" s="365"/>
      <c r="D712" s="366"/>
      <c r="E712" s="366"/>
      <c r="F712" s="367"/>
      <c r="G712" s="367"/>
      <c r="H712" s="366"/>
      <c r="I712" s="366"/>
      <c r="J712" s="368"/>
      <c r="K712" s="368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1"/>
      <c r="Y712" s="341"/>
      <c r="Z712" s="341"/>
      <c r="AA712" s="341"/>
      <c r="AB712" s="341"/>
      <c r="AC712" s="341"/>
      <c r="AD712" s="341"/>
      <c r="AE712" s="341"/>
      <c r="AF712" s="341"/>
    </row>
    <row r="713" spans="1:32" ht="15">
      <c r="A713" s="341"/>
      <c r="B713" s="365"/>
      <c r="C713" s="365"/>
      <c r="D713" s="366"/>
      <c r="E713" s="366"/>
      <c r="F713" s="367"/>
      <c r="G713" s="367"/>
      <c r="H713" s="366"/>
      <c r="I713" s="366"/>
      <c r="J713" s="368"/>
      <c r="K713" s="368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1"/>
      <c r="Y713" s="341"/>
      <c r="Z713" s="341"/>
      <c r="AA713" s="341"/>
      <c r="AB713" s="341"/>
      <c r="AC713" s="341"/>
      <c r="AD713" s="341"/>
      <c r="AE713" s="341"/>
      <c r="AF713" s="341"/>
    </row>
    <row r="714" spans="1:32" ht="15">
      <c r="A714" s="341"/>
      <c r="B714" s="365"/>
      <c r="C714" s="365"/>
      <c r="D714" s="366"/>
      <c r="E714" s="366"/>
      <c r="F714" s="367"/>
      <c r="G714" s="367"/>
      <c r="H714" s="366"/>
      <c r="I714" s="366"/>
      <c r="J714" s="368"/>
      <c r="K714" s="368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1"/>
      <c r="Y714" s="341"/>
      <c r="Z714" s="341"/>
      <c r="AA714" s="341"/>
      <c r="AB714" s="341"/>
      <c r="AC714" s="341"/>
      <c r="AD714" s="341"/>
      <c r="AE714" s="341"/>
      <c r="AF714" s="341"/>
    </row>
    <row r="715" spans="1:32" ht="15">
      <c r="A715" s="341"/>
      <c r="B715" s="365"/>
      <c r="C715" s="365"/>
      <c r="D715" s="366"/>
      <c r="E715" s="366"/>
      <c r="F715" s="367"/>
      <c r="G715" s="367"/>
      <c r="H715" s="366"/>
      <c r="I715" s="366"/>
      <c r="J715" s="368"/>
      <c r="K715" s="368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1"/>
      <c r="Y715" s="341"/>
      <c r="Z715" s="341"/>
      <c r="AA715" s="341"/>
      <c r="AB715" s="341"/>
      <c r="AC715" s="341"/>
      <c r="AD715" s="341"/>
      <c r="AE715" s="341"/>
      <c r="AF715" s="341"/>
    </row>
    <row r="716" spans="1:32" ht="15">
      <c r="A716" s="341"/>
      <c r="B716" s="365"/>
      <c r="C716" s="365"/>
      <c r="D716" s="366"/>
      <c r="E716" s="366"/>
      <c r="F716" s="367"/>
      <c r="G716" s="367"/>
      <c r="H716" s="366"/>
      <c r="I716" s="366"/>
      <c r="J716" s="368"/>
      <c r="K716" s="368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1"/>
      <c r="Y716" s="341"/>
      <c r="Z716" s="341"/>
      <c r="AA716" s="341"/>
      <c r="AB716" s="341"/>
      <c r="AC716" s="341"/>
      <c r="AD716" s="341"/>
      <c r="AE716" s="341"/>
      <c r="AF716" s="341"/>
    </row>
    <row r="717" spans="1:32" ht="15">
      <c r="A717" s="341"/>
      <c r="B717" s="365"/>
      <c r="C717" s="365"/>
      <c r="D717" s="366"/>
      <c r="E717" s="366"/>
      <c r="F717" s="367"/>
      <c r="G717" s="367"/>
      <c r="H717" s="366"/>
      <c r="I717" s="366"/>
      <c r="J717" s="368"/>
      <c r="K717" s="368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</row>
    <row r="718" spans="1:32" ht="15">
      <c r="A718" s="341"/>
      <c r="B718" s="365"/>
      <c r="C718" s="365"/>
      <c r="D718" s="366"/>
      <c r="E718" s="366"/>
      <c r="F718" s="367"/>
      <c r="G718" s="367"/>
      <c r="H718" s="366"/>
      <c r="I718" s="366"/>
      <c r="J718" s="368"/>
      <c r="K718" s="368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1"/>
      <c r="Y718" s="341"/>
      <c r="Z718" s="341"/>
      <c r="AA718" s="341"/>
      <c r="AB718" s="341"/>
      <c r="AC718" s="341"/>
      <c r="AD718" s="341"/>
      <c r="AE718" s="341"/>
      <c r="AF718" s="341"/>
    </row>
    <row r="719" spans="1:32" ht="15">
      <c r="A719" s="341"/>
      <c r="B719" s="365"/>
      <c r="C719" s="365"/>
      <c r="D719" s="366"/>
      <c r="E719" s="366"/>
      <c r="F719" s="367"/>
      <c r="G719" s="367"/>
      <c r="H719" s="366"/>
      <c r="I719" s="366"/>
      <c r="J719" s="368"/>
      <c r="K719" s="368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1"/>
      <c r="Y719" s="341"/>
      <c r="Z719" s="341"/>
      <c r="AA719" s="341"/>
      <c r="AB719" s="341"/>
      <c r="AC719" s="341"/>
      <c r="AD719" s="341"/>
      <c r="AE719" s="341"/>
      <c r="AF719" s="341"/>
    </row>
    <row r="720" spans="1:32" ht="15">
      <c r="A720" s="341"/>
      <c r="B720" s="365"/>
      <c r="C720" s="365"/>
      <c r="D720" s="366"/>
      <c r="E720" s="366"/>
      <c r="F720" s="367"/>
      <c r="G720" s="367"/>
      <c r="H720" s="366"/>
      <c r="I720" s="366"/>
      <c r="J720" s="368"/>
      <c r="K720" s="368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1"/>
      <c r="Y720" s="341"/>
      <c r="Z720" s="341"/>
      <c r="AA720" s="341"/>
      <c r="AB720" s="341"/>
      <c r="AC720" s="341"/>
      <c r="AD720" s="341"/>
      <c r="AE720" s="341"/>
      <c r="AF720" s="341"/>
    </row>
    <row r="721" spans="1:32" ht="15">
      <c r="A721" s="341"/>
      <c r="B721" s="365"/>
      <c r="C721" s="365"/>
      <c r="D721" s="366"/>
      <c r="E721" s="366"/>
      <c r="F721" s="367"/>
      <c r="G721" s="367"/>
      <c r="H721" s="366"/>
      <c r="I721" s="366"/>
      <c r="J721" s="368"/>
      <c r="K721" s="368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1"/>
      <c r="Y721" s="341"/>
      <c r="Z721" s="341"/>
      <c r="AA721" s="341"/>
      <c r="AB721" s="341"/>
      <c r="AC721" s="341"/>
      <c r="AD721" s="341"/>
      <c r="AE721" s="341"/>
      <c r="AF721" s="341"/>
    </row>
    <row r="722" spans="1:32" ht="15">
      <c r="A722" s="341"/>
      <c r="B722" s="365"/>
      <c r="C722" s="365"/>
      <c r="D722" s="366"/>
      <c r="E722" s="366"/>
      <c r="F722" s="367"/>
      <c r="G722" s="367"/>
      <c r="H722" s="366"/>
      <c r="I722" s="366"/>
      <c r="J722" s="368"/>
      <c r="K722" s="368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1"/>
      <c r="Y722" s="341"/>
      <c r="Z722" s="341"/>
      <c r="AA722" s="341"/>
      <c r="AB722" s="341"/>
      <c r="AC722" s="341"/>
      <c r="AD722" s="341"/>
      <c r="AE722" s="341"/>
      <c r="AF722" s="341"/>
    </row>
    <row r="723" spans="1:32" ht="15">
      <c r="A723" s="341"/>
      <c r="B723" s="365"/>
      <c r="C723" s="365"/>
      <c r="D723" s="366"/>
      <c r="E723" s="366"/>
      <c r="F723" s="367"/>
      <c r="G723" s="367"/>
      <c r="H723" s="366"/>
      <c r="I723" s="366"/>
      <c r="J723" s="368"/>
      <c r="K723" s="368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1"/>
      <c r="Y723" s="341"/>
      <c r="Z723" s="341"/>
      <c r="AA723" s="341"/>
      <c r="AB723" s="341"/>
      <c r="AC723" s="341"/>
      <c r="AD723" s="341"/>
      <c r="AE723" s="341"/>
      <c r="AF723" s="341"/>
    </row>
    <row r="724" spans="1:32" ht="15">
      <c r="A724" s="341"/>
      <c r="B724" s="365"/>
      <c r="C724" s="365"/>
      <c r="D724" s="366"/>
      <c r="E724" s="366"/>
      <c r="F724" s="367"/>
      <c r="G724" s="367"/>
      <c r="H724" s="366"/>
      <c r="I724" s="366"/>
      <c r="J724" s="368"/>
      <c r="K724" s="368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1"/>
      <c r="Y724" s="341"/>
      <c r="Z724" s="341"/>
      <c r="AA724" s="341"/>
      <c r="AB724" s="341"/>
      <c r="AC724" s="341"/>
      <c r="AD724" s="341"/>
      <c r="AE724" s="341"/>
      <c r="AF724" s="341"/>
    </row>
    <row r="725" spans="1:32" ht="15">
      <c r="A725" s="341"/>
      <c r="B725" s="365"/>
      <c r="C725" s="365"/>
      <c r="D725" s="366"/>
      <c r="E725" s="366"/>
      <c r="F725" s="367"/>
      <c r="G725" s="367"/>
      <c r="H725" s="366"/>
      <c r="I725" s="366"/>
      <c r="J725" s="368"/>
      <c r="K725" s="368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1"/>
      <c r="Y725" s="341"/>
      <c r="Z725" s="341"/>
      <c r="AA725" s="341"/>
      <c r="AB725" s="341"/>
      <c r="AC725" s="341"/>
      <c r="AD725" s="341"/>
      <c r="AE725" s="341"/>
      <c r="AF725" s="341"/>
    </row>
    <row r="726" spans="1:32" ht="15">
      <c r="A726" s="341"/>
      <c r="B726" s="365"/>
      <c r="C726" s="365"/>
      <c r="D726" s="366"/>
      <c r="E726" s="366"/>
      <c r="F726" s="367"/>
      <c r="G726" s="367"/>
      <c r="H726" s="366"/>
      <c r="I726" s="366"/>
      <c r="J726" s="368"/>
      <c r="K726" s="368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1"/>
      <c r="Y726" s="341"/>
      <c r="Z726" s="341"/>
      <c r="AA726" s="341"/>
      <c r="AB726" s="341"/>
      <c r="AC726" s="341"/>
      <c r="AD726" s="341"/>
      <c r="AE726" s="341"/>
      <c r="AF726" s="341"/>
    </row>
    <row r="727" spans="1:32" ht="15">
      <c r="A727" s="341"/>
      <c r="B727" s="365"/>
      <c r="C727" s="365"/>
      <c r="D727" s="366"/>
      <c r="E727" s="366"/>
      <c r="F727" s="367"/>
      <c r="G727" s="367"/>
      <c r="H727" s="366"/>
      <c r="I727" s="366"/>
      <c r="J727" s="368"/>
      <c r="K727" s="368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1"/>
      <c r="Y727" s="341"/>
      <c r="Z727" s="341"/>
      <c r="AA727" s="341"/>
      <c r="AB727" s="341"/>
      <c r="AC727" s="341"/>
      <c r="AD727" s="341"/>
      <c r="AE727" s="341"/>
      <c r="AF727" s="341"/>
    </row>
    <row r="728" spans="1:32" ht="15">
      <c r="A728" s="341"/>
      <c r="B728" s="365"/>
      <c r="C728" s="365"/>
      <c r="D728" s="366"/>
      <c r="E728" s="366"/>
      <c r="F728" s="367"/>
      <c r="G728" s="367"/>
      <c r="H728" s="366"/>
      <c r="I728" s="366"/>
      <c r="J728" s="368"/>
      <c r="K728" s="368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1"/>
      <c r="Y728" s="341"/>
      <c r="Z728" s="341"/>
      <c r="AA728" s="341"/>
      <c r="AB728" s="341"/>
      <c r="AC728" s="341"/>
      <c r="AD728" s="341"/>
      <c r="AE728" s="341"/>
      <c r="AF728" s="341"/>
    </row>
    <row r="729" spans="1:32" ht="15">
      <c r="A729" s="341"/>
      <c r="B729" s="365"/>
      <c r="C729" s="365"/>
      <c r="D729" s="366"/>
      <c r="E729" s="366"/>
      <c r="F729" s="367"/>
      <c r="G729" s="367"/>
      <c r="H729" s="366"/>
      <c r="I729" s="366"/>
      <c r="J729" s="368"/>
      <c r="K729" s="368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1"/>
      <c r="Y729" s="341"/>
      <c r="Z729" s="341"/>
      <c r="AA729" s="341"/>
      <c r="AB729" s="341"/>
      <c r="AC729" s="341"/>
      <c r="AD729" s="341"/>
      <c r="AE729" s="341"/>
      <c r="AF729" s="341"/>
    </row>
    <row r="730" spans="1:32" ht="15">
      <c r="A730" s="341"/>
      <c r="B730" s="365"/>
      <c r="C730" s="365"/>
      <c r="D730" s="366"/>
      <c r="E730" s="366"/>
      <c r="F730" s="367"/>
      <c r="G730" s="367"/>
      <c r="H730" s="366"/>
      <c r="I730" s="366"/>
      <c r="J730" s="368"/>
      <c r="K730" s="368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1"/>
      <c r="Y730" s="341"/>
      <c r="Z730" s="341"/>
      <c r="AA730" s="341"/>
      <c r="AB730" s="341"/>
      <c r="AC730" s="341"/>
      <c r="AD730" s="341"/>
      <c r="AE730" s="341"/>
      <c r="AF730" s="341"/>
    </row>
    <row r="731" spans="1:32" ht="15">
      <c r="A731" s="341"/>
      <c r="B731" s="365"/>
      <c r="C731" s="365"/>
      <c r="D731" s="366"/>
      <c r="E731" s="366"/>
      <c r="F731" s="367"/>
      <c r="G731" s="367"/>
      <c r="H731" s="366"/>
      <c r="I731" s="366"/>
      <c r="J731" s="368"/>
      <c r="K731" s="368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341"/>
      <c r="Z731" s="341"/>
      <c r="AA731" s="341"/>
      <c r="AB731" s="341"/>
      <c r="AC731" s="341"/>
      <c r="AD731" s="341"/>
      <c r="AE731" s="341"/>
      <c r="AF731" s="341"/>
    </row>
    <row r="732" spans="1:32" ht="15">
      <c r="A732" s="341"/>
      <c r="B732" s="365"/>
      <c r="C732" s="365"/>
      <c r="D732" s="366"/>
      <c r="E732" s="366"/>
      <c r="F732" s="367"/>
      <c r="G732" s="367"/>
      <c r="H732" s="366"/>
      <c r="I732" s="366"/>
      <c r="J732" s="368"/>
      <c r="K732" s="368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1"/>
      <c r="Y732" s="341"/>
      <c r="Z732" s="341"/>
      <c r="AA732" s="341"/>
      <c r="AB732" s="341"/>
      <c r="AC732" s="341"/>
      <c r="AD732" s="341"/>
      <c r="AE732" s="341"/>
      <c r="AF732" s="341"/>
    </row>
    <row r="733" spans="1:32" ht="15">
      <c r="A733" s="341"/>
      <c r="B733" s="365"/>
      <c r="C733" s="365"/>
      <c r="D733" s="366"/>
      <c r="E733" s="366"/>
      <c r="F733" s="367"/>
      <c r="G733" s="367"/>
      <c r="H733" s="366"/>
      <c r="I733" s="366"/>
      <c r="J733" s="368"/>
      <c r="K733" s="368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1"/>
      <c r="Y733" s="341"/>
      <c r="Z733" s="341"/>
      <c r="AA733" s="341"/>
      <c r="AB733" s="341"/>
      <c r="AC733" s="341"/>
      <c r="AD733" s="341"/>
      <c r="AE733" s="341"/>
      <c r="AF733" s="341"/>
    </row>
    <row r="734" spans="1:32" ht="15">
      <c r="A734" s="341"/>
      <c r="B734" s="365"/>
      <c r="C734" s="365"/>
      <c r="D734" s="366"/>
      <c r="E734" s="366"/>
      <c r="F734" s="367"/>
      <c r="G734" s="367"/>
      <c r="H734" s="366"/>
      <c r="I734" s="366"/>
      <c r="J734" s="368"/>
      <c r="K734" s="368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341"/>
      <c r="Z734" s="341"/>
      <c r="AA734" s="341"/>
      <c r="AB734" s="341"/>
      <c r="AC734" s="341"/>
      <c r="AD734" s="341"/>
      <c r="AE734" s="341"/>
      <c r="AF734" s="341"/>
    </row>
    <row r="735" spans="1:32" ht="15">
      <c r="A735" s="341"/>
      <c r="B735" s="365"/>
      <c r="C735" s="365"/>
      <c r="D735" s="366"/>
      <c r="E735" s="366"/>
      <c r="F735" s="367"/>
      <c r="G735" s="367"/>
      <c r="H735" s="366"/>
      <c r="I735" s="366"/>
      <c r="J735" s="368"/>
      <c r="K735" s="368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341"/>
      <c r="Z735" s="341"/>
      <c r="AA735" s="341"/>
      <c r="AB735" s="341"/>
      <c r="AC735" s="341"/>
      <c r="AD735" s="341"/>
      <c r="AE735" s="341"/>
      <c r="AF735" s="341"/>
    </row>
    <row r="736" spans="1:32" ht="15">
      <c r="A736" s="341"/>
      <c r="B736" s="365"/>
      <c r="C736" s="365"/>
      <c r="D736" s="366"/>
      <c r="E736" s="366"/>
      <c r="F736" s="367"/>
      <c r="G736" s="367"/>
      <c r="H736" s="366"/>
      <c r="I736" s="366"/>
      <c r="J736" s="368"/>
      <c r="K736" s="368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1"/>
      <c r="Y736" s="341"/>
      <c r="Z736" s="341"/>
      <c r="AA736" s="341"/>
      <c r="AB736" s="341"/>
      <c r="AC736" s="341"/>
      <c r="AD736" s="341"/>
      <c r="AE736" s="341"/>
      <c r="AF736" s="341"/>
    </row>
    <row r="737" spans="1:32" ht="15">
      <c r="A737" s="341"/>
      <c r="B737" s="365"/>
      <c r="C737" s="365"/>
      <c r="D737" s="366"/>
      <c r="E737" s="366"/>
      <c r="F737" s="367"/>
      <c r="G737" s="367"/>
      <c r="H737" s="366"/>
      <c r="I737" s="366"/>
      <c r="J737" s="368"/>
      <c r="K737" s="368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1"/>
      <c r="Y737" s="341"/>
      <c r="Z737" s="341"/>
      <c r="AA737" s="341"/>
      <c r="AB737" s="341"/>
      <c r="AC737" s="341"/>
      <c r="AD737" s="341"/>
      <c r="AE737" s="341"/>
      <c r="AF737" s="341"/>
    </row>
    <row r="738" spans="1:32" ht="15">
      <c r="A738" s="341"/>
      <c r="B738" s="365"/>
      <c r="C738" s="365"/>
      <c r="D738" s="366"/>
      <c r="E738" s="366"/>
      <c r="F738" s="367"/>
      <c r="G738" s="367"/>
      <c r="H738" s="366"/>
      <c r="I738" s="366"/>
      <c r="J738" s="368"/>
      <c r="K738" s="368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1"/>
      <c r="Y738" s="341"/>
      <c r="Z738" s="341"/>
      <c r="AA738" s="341"/>
      <c r="AB738" s="341"/>
      <c r="AC738" s="341"/>
      <c r="AD738" s="341"/>
      <c r="AE738" s="341"/>
      <c r="AF738" s="341"/>
    </row>
    <row r="739" spans="1:32" ht="15">
      <c r="A739" s="341"/>
      <c r="B739" s="365"/>
      <c r="C739" s="365"/>
      <c r="D739" s="366"/>
      <c r="E739" s="366"/>
      <c r="F739" s="367"/>
      <c r="G739" s="367"/>
      <c r="H739" s="366"/>
      <c r="I739" s="366"/>
      <c r="J739" s="368"/>
      <c r="K739" s="368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41"/>
      <c r="AD739" s="341"/>
      <c r="AE739" s="341"/>
      <c r="AF739" s="341"/>
    </row>
    <row r="740" spans="1:32" ht="15">
      <c r="A740" s="341"/>
      <c r="B740" s="365"/>
      <c r="C740" s="365"/>
      <c r="D740" s="366"/>
      <c r="E740" s="366"/>
      <c r="F740" s="367"/>
      <c r="G740" s="367"/>
      <c r="H740" s="366"/>
      <c r="I740" s="366"/>
      <c r="J740" s="368"/>
      <c r="K740" s="368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1"/>
      <c r="Y740" s="341"/>
      <c r="Z740" s="341"/>
      <c r="AA740" s="341"/>
      <c r="AB740" s="341"/>
      <c r="AC740" s="341"/>
      <c r="AD740" s="341"/>
      <c r="AE740" s="341"/>
      <c r="AF740" s="341"/>
    </row>
    <row r="741" spans="1:32" ht="15">
      <c r="A741" s="341"/>
      <c r="B741" s="365"/>
      <c r="C741" s="365"/>
      <c r="D741" s="366"/>
      <c r="E741" s="366"/>
      <c r="F741" s="367"/>
      <c r="G741" s="367"/>
      <c r="H741" s="366"/>
      <c r="I741" s="366"/>
      <c r="J741" s="368"/>
      <c r="K741" s="368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</row>
    <row r="742" spans="1:32" ht="15">
      <c r="A742" s="341"/>
      <c r="B742" s="365"/>
      <c r="C742" s="365"/>
      <c r="D742" s="366"/>
      <c r="E742" s="366"/>
      <c r="F742" s="367"/>
      <c r="G742" s="367"/>
      <c r="H742" s="366"/>
      <c r="I742" s="366"/>
      <c r="J742" s="368"/>
      <c r="K742" s="368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</row>
    <row r="743" spans="1:32" ht="15">
      <c r="A743" s="341"/>
      <c r="B743" s="365"/>
      <c r="C743" s="365"/>
      <c r="D743" s="366"/>
      <c r="E743" s="366"/>
      <c r="F743" s="367"/>
      <c r="G743" s="367"/>
      <c r="H743" s="366"/>
      <c r="I743" s="366"/>
      <c r="J743" s="368"/>
      <c r="K743" s="368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341"/>
      <c r="Z743" s="341"/>
      <c r="AA743" s="341"/>
      <c r="AB743" s="341"/>
      <c r="AC743" s="341"/>
      <c r="AD743" s="341"/>
      <c r="AE743" s="341"/>
      <c r="AF743" s="341"/>
    </row>
    <row r="744" spans="1:32" ht="15">
      <c r="A744" s="341"/>
      <c r="B744" s="365"/>
      <c r="C744" s="365"/>
      <c r="D744" s="366"/>
      <c r="E744" s="366"/>
      <c r="F744" s="367"/>
      <c r="G744" s="367"/>
      <c r="H744" s="366"/>
      <c r="I744" s="366"/>
      <c r="J744" s="368"/>
      <c r="K744" s="368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1"/>
      <c r="Y744" s="341"/>
      <c r="Z744" s="341"/>
      <c r="AA744" s="341"/>
      <c r="AB744" s="341"/>
      <c r="AC744" s="341"/>
      <c r="AD744" s="341"/>
      <c r="AE744" s="341"/>
      <c r="AF744" s="341"/>
    </row>
    <row r="745" spans="1:32" ht="15">
      <c r="A745" s="341"/>
      <c r="B745" s="365"/>
      <c r="C745" s="365"/>
      <c r="D745" s="366"/>
      <c r="E745" s="366"/>
      <c r="F745" s="367"/>
      <c r="G745" s="367"/>
      <c r="H745" s="366"/>
      <c r="I745" s="366"/>
      <c r="J745" s="368"/>
      <c r="K745" s="368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341"/>
      <c r="Z745" s="341"/>
      <c r="AA745" s="341"/>
      <c r="AB745" s="341"/>
      <c r="AC745" s="341"/>
      <c r="AD745" s="341"/>
      <c r="AE745" s="341"/>
      <c r="AF745" s="341"/>
    </row>
    <row r="746" spans="1:32" ht="15">
      <c r="A746" s="341"/>
      <c r="B746" s="365"/>
      <c r="C746" s="365"/>
      <c r="D746" s="366"/>
      <c r="E746" s="366"/>
      <c r="F746" s="367"/>
      <c r="G746" s="367"/>
      <c r="H746" s="366"/>
      <c r="I746" s="366"/>
      <c r="J746" s="368"/>
      <c r="K746" s="368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1"/>
      <c r="Y746" s="341"/>
      <c r="Z746" s="341"/>
      <c r="AA746" s="341"/>
      <c r="AB746" s="341"/>
      <c r="AC746" s="341"/>
      <c r="AD746" s="341"/>
      <c r="AE746" s="341"/>
      <c r="AF746" s="341"/>
    </row>
    <row r="747" spans="1:32" ht="15">
      <c r="A747" s="341"/>
      <c r="B747" s="365"/>
      <c r="C747" s="365"/>
      <c r="D747" s="366"/>
      <c r="E747" s="366"/>
      <c r="F747" s="367"/>
      <c r="G747" s="367"/>
      <c r="H747" s="366"/>
      <c r="I747" s="366"/>
      <c r="J747" s="368"/>
      <c r="K747" s="368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1"/>
      <c r="Y747" s="341"/>
      <c r="Z747" s="341"/>
      <c r="AA747" s="341"/>
      <c r="AB747" s="341"/>
      <c r="AC747" s="341"/>
      <c r="AD747" s="341"/>
      <c r="AE747" s="341"/>
      <c r="AF747" s="341"/>
    </row>
    <row r="748" spans="1:32" ht="15">
      <c r="A748" s="341"/>
      <c r="B748" s="365"/>
      <c r="C748" s="365"/>
      <c r="D748" s="366"/>
      <c r="E748" s="366"/>
      <c r="F748" s="367"/>
      <c r="G748" s="367"/>
      <c r="H748" s="366"/>
      <c r="I748" s="366"/>
      <c r="J748" s="368"/>
      <c r="K748" s="368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1"/>
      <c r="Y748" s="341"/>
      <c r="Z748" s="341"/>
      <c r="AA748" s="341"/>
      <c r="AB748" s="341"/>
      <c r="AC748" s="341"/>
      <c r="AD748" s="341"/>
      <c r="AE748" s="341"/>
      <c r="AF748" s="341"/>
    </row>
    <row r="749" spans="1:32" ht="15">
      <c r="A749" s="341"/>
      <c r="B749" s="365"/>
      <c r="C749" s="365"/>
      <c r="D749" s="366"/>
      <c r="E749" s="366"/>
      <c r="F749" s="367"/>
      <c r="G749" s="367"/>
      <c r="H749" s="366"/>
      <c r="I749" s="366"/>
      <c r="J749" s="368"/>
      <c r="K749" s="368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1"/>
      <c r="Y749" s="341"/>
      <c r="Z749" s="341"/>
      <c r="AA749" s="341"/>
      <c r="AB749" s="341"/>
      <c r="AC749" s="341"/>
      <c r="AD749" s="341"/>
      <c r="AE749" s="341"/>
      <c r="AF749" s="341"/>
    </row>
    <row r="750" spans="1:32" ht="15">
      <c r="A750" s="341"/>
      <c r="B750" s="365"/>
      <c r="C750" s="365"/>
      <c r="D750" s="366"/>
      <c r="E750" s="366"/>
      <c r="F750" s="367"/>
      <c r="G750" s="367"/>
      <c r="H750" s="366"/>
      <c r="I750" s="366"/>
      <c r="J750" s="368"/>
      <c r="K750" s="368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1"/>
      <c r="Y750" s="341"/>
      <c r="Z750" s="341"/>
      <c r="AA750" s="341"/>
      <c r="AB750" s="341"/>
      <c r="AC750" s="341"/>
      <c r="AD750" s="341"/>
      <c r="AE750" s="341"/>
      <c r="AF750" s="341"/>
    </row>
    <row r="751" spans="1:32" ht="15">
      <c r="A751" s="341"/>
      <c r="B751" s="365"/>
      <c r="C751" s="365"/>
      <c r="D751" s="366"/>
      <c r="E751" s="366"/>
      <c r="F751" s="367"/>
      <c r="G751" s="367"/>
      <c r="H751" s="366"/>
      <c r="I751" s="366"/>
      <c r="J751" s="368"/>
      <c r="K751" s="368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1"/>
      <c r="Y751" s="341"/>
      <c r="Z751" s="341"/>
      <c r="AA751" s="341"/>
      <c r="AB751" s="341"/>
      <c r="AC751" s="341"/>
      <c r="AD751" s="341"/>
      <c r="AE751" s="341"/>
      <c r="AF751" s="341"/>
    </row>
    <row r="752" spans="1:32" ht="15">
      <c r="A752" s="341"/>
      <c r="B752" s="365"/>
      <c r="C752" s="365"/>
      <c r="D752" s="366"/>
      <c r="E752" s="366"/>
      <c r="F752" s="367"/>
      <c r="G752" s="367"/>
      <c r="H752" s="366"/>
      <c r="I752" s="366"/>
      <c r="J752" s="368"/>
      <c r="K752" s="368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341"/>
      <c r="Z752" s="341"/>
      <c r="AA752" s="341"/>
      <c r="AB752" s="341"/>
      <c r="AC752" s="341"/>
      <c r="AD752" s="341"/>
      <c r="AE752" s="341"/>
      <c r="AF752" s="341"/>
    </row>
    <row r="753" spans="1:32" ht="15">
      <c r="A753" s="341"/>
      <c r="B753" s="365"/>
      <c r="C753" s="365"/>
      <c r="D753" s="366"/>
      <c r="E753" s="366"/>
      <c r="F753" s="367"/>
      <c r="G753" s="367"/>
      <c r="H753" s="366"/>
      <c r="I753" s="366"/>
      <c r="J753" s="368"/>
      <c r="K753" s="368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1"/>
      <c r="Y753" s="341"/>
      <c r="Z753" s="341"/>
      <c r="AA753" s="341"/>
      <c r="AB753" s="341"/>
      <c r="AC753" s="341"/>
      <c r="AD753" s="341"/>
      <c r="AE753" s="341"/>
      <c r="AF753" s="341"/>
    </row>
    <row r="754" spans="1:32" ht="15">
      <c r="A754" s="341"/>
      <c r="B754" s="365"/>
      <c r="C754" s="365"/>
      <c r="D754" s="366"/>
      <c r="E754" s="366"/>
      <c r="F754" s="367"/>
      <c r="G754" s="367"/>
      <c r="H754" s="366"/>
      <c r="I754" s="366"/>
      <c r="J754" s="368"/>
      <c r="K754" s="368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1"/>
      <c r="Y754" s="341"/>
      <c r="Z754" s="341"/>
      <c r="AA754" s="341"/>
      <c r="AB754" s="341"/>
      <c r="AC754" s="341"/>
      <c r="AD754" s="341"/>
      <c r="AE754" s="341"/>
      <c r="AF754" s="341"/>
    </row>
    <row r="755" spans="1:32" ht="15">
      <c r="A755" s="341"/>
      <c r="B755" s="365"/>
      <c r="C755" s="365"/>
      <c r="D755" s="366"/>
      <c r="E755" s="366"/>
      <c r="F755" s="367"/>
      <c r="G755" s="367"/>
      <c r="H755" s="366"/>
      <c r="I755" s="366"/>
      <c r="J755" s="368"/>
      <c r="K755" s="368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1"/>
      <c r="Y755" s="341"/>
      <c r="Z755" s="341"/>
      <c r="AA755" s="341"/>
      <c r="AB755" s="341"/>
      <c r="AC755" s="341"/>
      <c r="AD755" s="341"/>
      <c r="AE755" s="341"/>
      <c r="AF755" s="341"/>
    </row>
    <row r="756" spans="1:32" ht="15">
      <c r="A756" s="341"/>
      <c r="B756" s="365"/>
      <c r="C756" s="365"/>
      <c r="D756" s="366"/>
      <c r="E756" s="366"/>
      <c r="F756" s="367"/>
      <c r="G756" s="367"/>
      <c r="H756" s="366"/>
      <c r="I756" s="366"/>
      <c r="J756" s="368"/>
      <c r="K756" s="368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1"/>
      <c r="Y756" s="341"/>
      <c r="Z756" s="341"/>
      <c r="AA756" s="341"/>
      <c r="AB756" s="341"/>
      <c r="AC756" s="341"/>
      <c r="AD756" s="341"/>
      <c r="AE756" s="341"/>
      <c r="AF756" s="341"/>
    </row>
    <row r="757" spans="1:32" ht="15">
      <c r="A757" s="341"/>
      <c r="B757" s="365"/>
      <c r="C757" s="365"/>
      <c r="D757" s="366"/>
      <c r="E757" s="366"/>
      <c r="F757" s="367"/>
      <c r="G757" s="367"/>
      <c r="H757" s="366"/>
      <c r="I757" s="366"/>
      <c r="J757" s="368"/>
      <c r="K757" s="368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1"/>
      <c r="Y757" s="341"/>
      <c r="Z757" s="341"/>
      <c r="AA757" s="341"/>
      <c r="AB757" s="341"/>
      <c r="AC757" s="341"/>
      <c r="AD757" s="341"/>
      <c r="AE757" s="341"/>
      <c r="AF757" s="341"/>
    </row>
    <row r="758" spans="1:32" ht="15">
      <c r="A758" s="341"/>
      <c r="B758" s="365"/>
      <c r="C758" s="365"/>
      <c r="D758" s="366"/>
      <c r="E758" s="366"/>
      <c r="F758" s="367"/>
      <c r="G758" s="367"/>
      <c r="H758" s="366"/>
      <c r="I758" s="366"/>
      <c r="J758" s="368"/>
      <c r="K758" s="368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1"/>
      <c r="Y758" s="341"/>
      <c r="Z758" s="341"/>
      <c r="AA758" s="341"/>
      <c r="AB758" s="341"/>
      <c r="AC758" s="341"/>
      <c r="AD758" s="341"/>
      <c r="AE758" s="341"/>
      <c r="AF758" s="341"/>
    </row>
    <row r="759" spans="1:32" ht="15">
      <c r="A759" s="341"/>
      <c r="B759" s="365"/>
      <c r="C759" s="365"/>
      <c r="D759" s="366"/>
      <c r="E759" s="366"/>
      <c r="F759" s="367"/>
      <c r="G759" s="367"/>
      <c r="H759" s="366"/>
      <c r="I759" s="366"/>
      <c r="J759" s="368"/>
      <c r="K759" s="368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1"/>
      <c r="Y759" s="341"/>
      <c r="Z759" s="341"/>
      <c r="AA759" s="341"/>
      <c r="AB759" s="341"/>
      <c r="AC759" s="341"/>
      <c r="AD759" s="341"/>
      <c r="AE759" s="341"/>
      <c r="AF759" s="341"/>
    </row>
    <row r="760" spans="1:32" ht="15">
      <c r="A760" s="341"/>
      <c r="B760" s="365"/>
      <c r="C760" s="365"/>
      <c r="D760" s="366"/>
      <c r="E760" s="366"/>
      <c r="F760" s="367"/>
      <c r="G760" s="367"/>
      <c r="H760" s="366"/>
      <c r="I760" s="366"/>
      <c r="J760" s="368"/>
      <c r="K760" s="368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1"/>
      <c r="Y760" s="341"/>
      <c r="Z760" s="341"/>
      <c r="AA760" s="341"/>
      <c r="AB760" s="341"/>
      <c r="AC760" s="341"/>
      <c r="AD760" s="341"/>
      <c r="AE760" s="341"/>
      <c r="AF760" s="341"/>
    </row>
    <row r="761" spans="1:32" ht="15">
      <c r="A761" s="341"/>
      <c r="B761" s="365"/>
      <c r="C761" s="365"/>
      <c r="D761" s="366"/>
      <c r="E761" s="366"/>
      <c r="F761" s="367"/>
      <c r="G761" s="367"/>
      <c r="H761" s="366"/>
      <c r="I761" s="366"/>
      <c r="J761" s="368"/>
      <c r="K761" s="368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1"/>
      <c r="Y761" s="341"/>
      <c r="Z761" s="341"/>
      <c r="AA761" s="341"/>
      <c r="AB761" s="341"/>
      <c r="AC761" s="341"/>
      <c r="AD761" s="341"/>
      <c r="AE761" s="341"/>
      <c r="AF761" s="341"/>
    </row>
    <row r="762" spans="1:32" ht="15">
      <c r="A762" s="341"/>
      <c r="B762" s="365"/>
      <c r="C762" s="365"/>
      <c r="D762" s="366"/>
      <c r="E762" s="366"/>
      <c r="F762" s="367"/>
      <c r="G762" s="367"/>
      <c r="H762" s="366"/>
      <c r="I762" s="366"/>
      <c r="J762" s="368"/>
      <c r="K762" s="368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341"/>
      <c r="Z762" s="341"/>
      <c r="AA762" s="341"/>
      <c r="AB762" s="341"/>
      <c r="AC762" s="341"/>
      <c r="AD762" s="341"/>
      <c r="AE762" s="341"/>
      <c r="AF762" s="341"/>
    </row>
    <row r="763" spans="1:32" ht="15">
      <c r="A763" s="341"/>
      <c r="B763" s="365"/>
      <c r="C763" s="365"/>
      <c r="D763" s="366"/>
      <c r="E763" s="366"/>
      <c r="F763" s="367"/>
      <c r="G763" s="367"/>
      <c r="H763" s="366"/>
      <c r="I763" s="366"/>
      <c r="J763" s="368"/>
      <c r="K763" s="368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341"/>
      <c r="Z763" s="341"/>
      <c r="AA763" s="341"/>
      <c r="AB763" s="341"/>
      <c r="AC763" s="341"/>
      <c r="AD763" s="341"/>
      <c r="AE763" s="341"/>
      <c r="AF763" s="341"/>
    </row>
    <row r="764" spans="1:32" ht="15">
      <c r="A764" s="341"/>
      <c r="B764" s="365"/>
      <c r="C764" s="365"/>
      <c r="D764" s="366"/>
      <c r="E764" s="366"/>
      <c r="F764" s="367"/>
      <c r="G764" s="367"/>
      <c r="H764" s="366"/>
      <c r="I764" s="366"/>
      <c r="J764" s="368"/>
      <c r="K764" s="368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1"/>
      <c r="Y764" s="341"/>
      <c r="Z764" s="341"/>
      <c r="AA764" s="341"/>
      <c r="AB764" s="341"/>
      <c r="AC764" s="341"/>
      <c r="AD764" s="341"/>
      <c r="AE764" s="341"/>
      <c r="AF764" s="341"/>
    </row>
    <row r="765" spans="1:32" ht="15">
      <c r="A765" s="341"/>
      <c r="B765" s="365"/>
      <c r="C765" s="365"/>
      <c r="D765" s="366"/>
      <c r="E765" s="366"/>
      <c r="F765" s="367"/>
      <c r="G765" s="367"/>
      <c r="H765" s="366"/>
      <c r="I765" s="366"/>
      <c r="J765" s="368"/>
      <c r="K765" s="368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41"/>
      <c r="AE765" s="341"/>
      <c r="AF765" s="341"/>
    </row>
    <row r="766" spans="1:32" ht="15">
      <c r="A766" s="341"/>
      <c r="B766" s="365"/>
      <c r="C766" s="365"/>
      <c r="D766" s="366"/>
      <c r="E766" s="366"/>
      <c r="F766" s="367"/>
      <c r="G766" s="367"/>
      <c r="H766" s="366"/>
      <c r="I766" s="366"/>
      <c r="J766" s="368"/>
      <c r="K766" s="368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1"/>
      <c r="Y766" s="341"/>
      <c r="Z766" s="341"/>
      <c r="AA766" s="341"/>
      <c r="AB766" s="341"/>
      <c r="AC766" s="341"/>
      <c r="AD766" s="341"/>
      <c r="AE766" s="341"/>
      <c r="AF766" s="341"/>
    </row>
    <row r="767" spans="1:32" ht="15">
      <c r="A767" s="341"/>
      <c r="B767" s="365"/>
      <c r="C767" s="365"/>
      <c r="D767" s="366"/>
      <c r="E767" s="366"/>
      <c r="F767" s="367"/>
      <c r="G767" s="367"/>
      <c r="H767" s="366"/>
      <c r="I767" s="366"/>
      <c r="J767" s="368"/>
      <c r="K767" s="368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</row>
    <row r="768" spans="1:32" ht="15">
      <c r="A768" s="341"/>
      <c r="B768" s="365"/>
      <c r="C768" s="365"/>
      <c r="D768" s="366"/>
      <c r="E768" s="366"/>
      <c r="F768" s="367"/>
      <c r="G768" s="367"/>
      <c r="H768" s="366"/>
      <c r="I768" s="366"/>
      <c r="J768" s="368"/>
      <c r="K768" s="368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1"/>
      <c r="Y768" s="341"/>
      <c r="Z768" s="341"/>
      <c r="AA768" s="341"/>
      <c r="AB768" s="341"/>
      <c r="AC768" s="341"/>
      <c r="AD768" s="341"/>
      <c r="AE768" s="341"/>
      <c r="AF768" s="341"/>
    </row>
    <row r="769" spans="1:32" ht="15">
      <c r="A769" s="341"/>
      <c r="B769" s="365"/>
      <c r="C769" s="365"/>
      <c r="D769" s="366"/>
      <c r="E769" s="366"/>
      <c r="F769" s="367"/>
      <c r="G769" s="367"/>
      <c r="H769" s="366"/>
      <c r="I769" s="366"/>
      <c r="J769" s="368"/>
      <c r="K769" s="368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1"/>
      <c r="Y769" s="341"/>
      <c r="Z769" s="341"/>
      <c r="AA769" s="341"/>
      <c r="AB769" s="341"/>
      <c r="AC769" s="341"/>
      <c r="AD769" s="341"/>
      <c r="AE769" s="341"/>
      <c r="AF769" s="341"/>
    </row>
    <row r="770" spans="1:32" ht="15">
      <c r="A770" s="341"/>
      <c r="B770" s="365"/>
      <c r="C770" s="365"/>
      <c r="D770" s="366"/>
      <c r="E770" s="366"/>
      <c r="F770" s="367"/>
      <c r="G770" s="367"/>
      <c r="H770" s="366"/>
      <c r="I770" s="366"/>
      <c r="J770" s="368"/>
      <c r="K770" s="368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1"/>
      <c r="Y770" s="341"/>
      <c r="Z770" s="341"/>
      <c r="AA770" s="341"/>
      <c r="AB770" s="341"/>
      <c r="AC770" s="341"/>
      <c r="AD770" s="341"/>
      <c r="AE770" s="341"/>
      <c r="AF770" s="341"/>
    </row>
    <row r="771" spans="1:32" ht="15">
      <c r="A771" s="341"/>
      <c r="B771" s="365"/>
      <c r="C771" s="365"/>
      <c r="D771" s="366"/>
      <c r="E771" s="366"/>
      <c r="F771" s="367"/>
      <c r="G771" s="367"/>
      <c r="H771" s="366"/>
      <c r="I771" s="366"/>
      <c r="J771" s="368"/>
      <c r="K771" s="368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341"/>
      <c r="Z771" s="341"/>
      <c r="AA771" s="341"/>
      <c r="AB771" s="341"/>
      <c r="AC771" s="341"/>
      <c r="AD771" s="341"/>
      <c r="AE771" s="341"/>
      <c r="AF771" s="341"/>
    </row>
    <row r="772" spans="1:32" ht="15">
      <c r="A772" s="341"/>
      <c r="B772" s="365"/>
      <c r="C772" s="365"/>
      <c r="D772" s="366"/>
      <c r="E772" s="366"/>
      <c r="F772" s="367"/>
      <c r="G772" s="367"/>
      <c r="H772" s="366"/>
      <c r="I772" s="366"/>
      <c r="J772" s="368"/>
      <c r="K772" s="368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1"/>
      <c r="Y772" s="341"/>
      <c r="Z772" s="341"/>
      <c r="AA772" s="341"/>
      <c r="AB772" s="341"/>
      <c r="AC772" s="341"/>
      <c r="AD772" s="341"/>
      <c r="AE772" s="341"/>
      <c r="AF772" s="341"/>
    </row>
    <row r="773" spans="1:32" ht="15">
      <c r="A773" s="341"/>
      <c r="B773" s="365"/>
      <c r="C773" s="365"/>
      <c r="D773" s="366"/>
      <c r="E773" s="366"/>
      <c r="F773" s="367"/>
      <c r="G773" s="367"/>
      <c r="H773" s="366"/>
      <c r="I773" s="366"/>
      <c r="J773" s="368"/>
      <c r="K773" s="368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1"/>
      <c r="Y773" s="341"/>
      <c r="Z773" s="341"/>
      <c r="AA773" s="341"/>
      <c r="AB773" s="341"/>
      <c r="AC773" s="341"/>
      <c r="AD773" s="341"/>
      <c r="AE773" s="341"/>
      <c r="AF773" s="341"/>
    </row>
    <row r="774" spans="1:32" ht="15">
      <c r="A774" s="341"/>
      <c r="B774" s="365"/>
      <c r="C774" s="365"/>
      <c r="D774" s="366"/>
      <c r="E774" s="366"/>
      <c r="F774" s="367"/>
      <c r="G774" s="367"/>
      <c r="H774" s="366"/>
      <c r="I774" s="366"/>
      <c r="J774" s="368"/>
      <c r="K774" s="368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1"/>
      <c r="Y774" s="341"/>
      <c r="Z774" s="341"/>
      <c r="AA774" s="341"/>
      <c r="AB774" s="341"/>
      <c r="AC774" s="341"/>
      <c r="AD774" s="341"/>
      <c r="AE774" s="341"/>
      <c r="AF774" s="341"/>
    </row>
    <row r="775" spans="1:32" ht="15">
      <c r="A775" s="341"/>
      <c r="B775" s="365"/>
      <c r="C775" s="365"/>
      <c r="D775" s="366"/>
      <c r="E775" s="366"/>
      <c r="F775" s="367"/>
      <c r="G775" s="367"/>
      <c r="H775" s="366"/>
      <c r="I775" s="366"/>
      <c r="J775" s="368"/>
      <c r="K775" s="368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1"/>
      <c r="Y775" s="341"/>
      <c r="Z775" s="341"/>
      <c r="AA775" s="341"/>
      <c r="AB775" s="341"/>
      <c r="AC775" s="341"/>
      <c r="AD775" s="341"/>
      <c r="AE775" s="341"/>
      <c r="AF775" s="341"/>
    </row>
    <row r="776" spans="1:32" ht="15">
      <c r="A776" s="341"/>
      <c r="B776" s="365"/>
      <c r="C776" s="365"/>
      <c r="D776" s="366"/>
      <c r="E776" s="366"/>
      <c r="F776" s="367"/>
      <c r="G776" s="367"/>
      <c r="H776" s="366"/>
      <c r="I776" s="366"/>
      <c r="J776" s="368"/>
      <c r="K776" s="368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1"/>
      <c r="Y776" s="341"/>
      <c r="Z776" s="341"/>
      <c r="AA776" s="341"/>
      <c r="AB776" s="341"/>
      <c r="AC776" s="341"/>
      <c r="AD776" s="341"/>
      <c r="AE776" s="341"/>
      <c r="AF776" s="341"/>
    </row>
    <row r="777" spans="1:32" ht="15">
      <c r="A777" s="341"/>
      <c r="B777" s="365"/>
      <c r="C777" s="365"/>
      <c r="D777" s="366"/>
      <c r="E777" s="366"/>
      <c r="F777" s="367"/>
      <c r="G777" s="367"/>
      <c r="H777" s="366"/>
      <c r="I777" s="366"/>
      <c r="J777" s="368"/>
      <c r="K777" s="368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1"/>
      <c r="Y777" s="341"/>
      <c r="Z777" s="341"/>
      <c r="AA777" s="341"/>
      <c r="AB777" s="341"/>
      <c r="AC777" s="341"/>
      <c r="AD777" s="341"/>
      <c r="AE777" s="341"/>
      <c r="AF777" s="341"/>
    </row>
    <row r="778" spans="1:32" ht="15">
      <c r="A778" s="341"/>
      <c r="B778" s="365"/>
      <c r="C778" s="365"/>
      <c r="D778" s="366"/>
      <c r="E778" s="366"/>
      <c r="F778" s="367"/>
      <c r="G778" s="367"/>
      <c r="H778" s="366"/>
      <c r="I778" s="366"/>
      <c r="J778" s="368"/>
      <c r="K778" s="368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1"/>
      <c r="Y778" s="341"/>
      <c r="Z778" s="341"/>
      <c r="AA778" s="341"/>
      <c r="AB778" s="341"/>
      <c r="AC778" s="341"/>
      <c r="AD778" s="341"/>
      <c r="AE778" s="341"/>
      <c r="AF778" s="341"/>
    </row>
    <row r="779" spans="1:32" ht="15">
      <c r="A779" s="341"/>
      <c r="B779" s="365"/>
      <c r="C779" s="365"/>
      <c r="D779" s="366"/>
      <c r="E779" s="366"/>
      <c r="F779" s="367"/>
      <c r="G779" s="367"/>
      <c r="H779" s="366"/>
      <c r="I779" s="366"/>
      <c r="J779" s="368"/>
      <c r="K779" s="368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1"/>
      <c r="Y779" s="341"/>
      <c r="Z779" s="341"/>
      <c r="AA779" s="341"/>
      <c r="AB779" s="341"/>
      <c r="AC779" s="341"/>
      <c r="AD779" s="341"/>
      <c r="AE779" s="341"/>
      <c r="AF779" s="341"/>
    </row>
    <row r="780" spans="1:32" ht="15">
      <c r="A780" s="341"/>
      <c r="B780" s="365"/>
      <c r="C780" s="365"/>
      <c r="D780" s="366"/>
      <c r="E780" s="366"/>
      <c r="F780" s="367"/>
      <c r="G780" s="367"/>
      <c r="H780" s="366"/>
      <c r="I780" s="366"/>
      <c r="J780" s="368"/>
      <c r="K780" s="368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1"/>
      <c r="Y780" s="341"/>
      <c r="Z780" s="341"/>
      <c r="AA780" s="341"/>
      <c r="AB780" s="341"/>
      <c r="AC780" s="341"/>
      <c r="AD780" s="341"/>
      <c r="AE780" s="341"/>
      <c r="AF780" s="341"/>
    </row>
    <row r="781" spans="1:32" ht="15">
      <c r="A781" s="341"/>
      <c r="B781" s="365"/>
      <c r="C781" s="365"/>
      <c r="D781" s="366"/>
      <c r="E781" s="366"/>
      <c r="F781" s="367"/>
      <c r="G781" s="367"/>
      <c r="H781" s="366"/>
      <c r="I781" s="366"/>
      <c r="J781" s="368"/>
      <c r="K781" s="368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1"/>
      <c r="Y781" s="341"/>
      <c r="Z781" s="341"/>
      <c r="AA781" s="341"/>
      <c r="AB781" s="341"/>
      <c r="AC781" s="341"/>
      <c r="AD781" s="341"/>
      <c r="AE781" s="341"/>
      <c r="AF781" s="341"/>
    </row>
    <row r="782" spans="1:32" ht="15">
      <c r="A782" s="341"/>
      <c r="B782" s="365"/>
      <c r="C782" s="365"/>
      <c r="D782" s="366"/>
      <c r="E782" s="366"/>
      <c r="F782" s="367"/>
      <c r="G782" s="367"/>
      <c r="H782" s="366"/>
      <c r="I782" s="366"/>
      <c r="J782" s="368"/>
      <c r="K782" s="368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1"/>
      <c r="Y782" s="341"/>
      <c r="Z782" s="341"/>
      <c r="AA782" s="341"/>
      <c r="AB782" s="341"/>
      <c r="AC782" s="341"/>
      <c r="AD782" s="341"/>
      <c r="AE782" s="341"/>
      <c r="AF782" s="341"/>
    </row>
    <row r="783" spans="1:32" ht="15">
      <c r="A783" s="341"/>
      <c r="B783" s="365"/>
      <c r="C783" s="365"/>
      <c r="D783" s="366"/>
      <c r="E783" s="366"/>
      <c r="F783" s="367"/>
      <c r="G783" s="367"/>
      <c r="H783" s="366"/>
      <c r="I783" s="366"/>
      <c r="J783" s="368"/>
      <c r="K783" s="368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1"/>
      <c r="Y783" s="341"/>
      <c r="Z783" s="341"/>
      <c r="AA783" s="341"/>
      <c r="AB783" s="341"/>
      <c r="AC783" s="341"/>
      <c r="AD783" s="341"/>
      <c r="AE783" s="341"/>
      <c r="AF783" s="341"/>
    </row>
    <row r="784" spans="1:32" ht="15">
      <c r="A784" s="341"/>
      <c r="B784" s="365"/>
      <c r="C784" s="365"/>
      <c r="D784" s="366"/>
      <c r="E784" s="366"/>
      <c r="F784" s="367"/>
      <c r="G784" s="367"/>
      <c r="H784" s="366"/>
      <c r="I784" s="366"/>
      <c r="J784" s="368"/>
      <c r="K784" s="368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1"/>
      <c r="Y784" s="341"/>
      <c r="Z784" s="341"/>
      <c r="AA784" s="341"/>
      <c r="AB784" s="341"/>
      <c r="AC784" s="341"/>
      <c r="AD784" s="341"/>
      <c r="AE784" s="341"/>
      <c r="AF784" s="341"/>
    </row>
    <row r="785" spans="1:32" ht="15">
      <c r="A785" s="341"/>
      <c r="B785" s="365"/>
      <c r="C785" s="365"/>
      <c r="D785" s="366"/>
      <c r="E785" s="366"/>
      <c r="F785" s="367"/>
      <c r="G785" s="367"/>
      <c r="H785" s="366"/>
      <c r="I785" s="366"/>
      <c r="J785" s="368"/>
      <c r="K785" s="368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1"/>
      <c r="Y785" s="341"/>
      <c r="Z785" s="341"/>
      <c r="AA785" s="341"/>
      <c r="AB785" s="341"/>
      <c r="AC785" s="341"/>
      <c r="AD785" s="341"/>
      <c r="AE785" s="341"/>
      <c r="AF785" s="341"/>
    </row>
    <row r="786" spans="1:32" ht="15">
      <c r="A786" s="341"/>
      <c r="B786" s="365"/>
      <c r="C786" s="365"/>
      <c r="D786" s="366"/>
      <c r="E786" s="366"/>
      <c r="F786" s="367"/>
      <c r="G786" s="367"/>
      <c r="H786" s="366"/>
      <c r="I786" s="366"/>
      <c r="J786" s="368"/>
      <c r="K786" s="368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1"/>
      <c r="Y786" s="341"/>
      <c r="Z786" s="341"/>
      <c r="AA786" s="341"/>
      <c r="AB786" s="341"/>
      <c r="AC786" s="341"/>
      <c r="AD786" s="341"/>
      <c r="AE786" s="341"/>
      <c r="AF786" s="341"/>
    </row>
    <row r="787" spans="1:32" ht="15">
      <c r="A787" s="341"/>
      <c r="B787" s="365"/>
      <c r="C787" s="365"/>
      <c r="D787" s="366"/>
      <c r="E787" s="366"/>
      <c r="F787" s="367"/>
      <c r="G787" s="367"/>
      <c r="H787" s="366"/>
      <c r="I787" s="366"/>
      <c r="J787" s="368"/>
      <c r="K787" s="368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1"/>
      <c r="Y787" s="341"/>
      <c r="Z787" s="341"/>
      <c r="AA787" s="341"/>
      <c r="AB787" s="341"/>
      <c r="AC787" s="341"/>
      <c r="AD787" s="341"/>
      <c r="AE787" s="341"/>
      <c r="AF787" s="341"/>
    </row>
    <row r="788" spans="1:32" ht="15">
      <c r="A788" s="341"/>
      <c r="B788" s="365"/>
      <c r="C788" s="365"/>
      <c r="D788" s="366"/>
      <c r="E788" s="366"/>
      <c r="F788" s="367"/>
      <c r="G788" s="367"/>
      <c r="H788" s="366"/>
      <c r="I788" s="366"/>
      <c r="J788" s="368"/>
      <c r="K788" s="368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1"/>
      <c r="Y788" s="341"/>
      <c r="Z788" s="341"/>
      <c r="AA788" s="341"/>
      <c r="AB788" s="341"/>
      <c r="AC788" s="341"/>
      <c r="AD788" s="341"/>
      <c r="AE788" s="341"/>
      <c r="AF788" s="341"/>
    </row>
    <row r="789" spans="1:32" ht="15">
      <c r="A789" s="341"/>
      <c r="B789" s="365"/>
      <c r="C789" s="365"/>
      <c r="D789" s="366"/>
      <c r="E789" s="366"/>
      <c r="F789" s="367"/>
      <c r="G789" s="367"/>
      <c r="H789" s="366"/>
      <c r="I789" s="366"/>
      <c r="J789" s="368"/>
      <c r="K789" s="368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1"/>
      <c r="Y789" s="341"/>
      <c r="Z789" s="341"/>
      <c r="AA789" s="341"/>
      <c r="AB789" s="341"/>
      <c r="AC789" s="341"/>
      <c r="AD789" s="341"/>
      <c r="AE789" s="341"/>
      <c r="AF789" s="341"/>
    </row>
    <row r="790" spans="1:32" ht="15">
      <c r="A790" s="341"/>
      <c r="B790" s="365"/>
      <c r="C790" s="365"/>
      <c r="D790" s="366"/>
      <c r="E790" s="366"/>
      <c r="F790" s="367"/>
      <c r="G790" s="367"/>
      <c r="H790" s="366"/>
      <c r="I790" s="366"/>
      <c r="J790" s="368"/>
      <c r="K790" s="368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1"/>
      <c r="Y790" s="341"/>
      <c r="Z790" s="341"/>
      <c r="AA790" s="341"/>
      <c r="AB790" s="341"/>
      <c r="AC790" s="341"/>
      <c r="AD790" s="341"/>
      <c r="AE790" s="341"/>
      <c r="AF790" s="341"/>
    </row>
    <row r="791" spans="1:32" ht="15">
      <c r="A791" s="341"/>
      <c r="B791" s="365"/>
      <c r="C791" s="365"/>
      <c r="D791" s="366"/>
      <c r="E791" s="366"/>
      <c r="F791" s="367"/>
      <c r="G791" s="367"/>
      <c r="H791" s="366"/>
      <c r="I791" s="366"/>
      <c r="J791" s="368"/>
      <c r="K791" s="368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1"/>
      <c r="Y791" s="341"/>
      <c r="Z791" s="341"/>
      <c r="AA791" s="341"/>
      <c r="AB791" s="341"/>
      <c r="AC791" s="341"/>
      <c r="AD791" s="341"/>
      <c r="AE791" s="341"/>
      <c r="AF791" s="341"/>
    </row>
    <row r="792" spans="1:32" ht="15">
      <c r="A792" s="341"/>
      <c r="B792" s="365"/>
      <c r="C792" s="365"/>
      <c r="D792" s="366"/>
      <c r="E792" s="366"/>
      <c r="F792" s="367"/>
      <c r="G792" s="367"/>
      <c r="H792" s="366"/>
      <c r="I792" s="366"/>
      <c r="J792" s="368"/>
      <c r="K792" s="368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1"/>
      <c r="Y792" s="341"/>
      <c r="Z792" s="341"/>
      <c r="AA792" s="341"/>
      <c r="AB792" s="341"/>
      <c r="AC792" s="341"/>
      <c r="AD792" s="341"/>
      <c r="AE792" s="341"/>
      <c r="AF792" s="341"/>
    </row>
    <row r="793" spans="1:32" ht="15">
      <c r="A793" s="341"/>
      <c r="B793" s="365"/>
      <c r="C793" s="365"/>
      <c r="D793" s="366"/>
      <c r="E793" s="366"/>
      <c r="F793" s="367"/>
      <c r="G793" s="367"/>
      <c r="H793" s="366"/>
      <c r="I793" s="366"/>
      <c r="J793" s="368"/>
      <c r="K793" s="368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1"/>
      <c r="Y793" s="341"/>
      <c r="Z793" s="341"/>
      <c r="AA793" s="341"/>
      <c r="AB793" s="341"/>
      <c r="AC793" s="341"/>
      <c r="AD793" s="341"/>
      <c r="AE793" s="341"/>
      <c r="AF793" s="341"/>
    </row>
    <row r="794" spans="1:32" ht="15">
      <c r="A794" s="341"/>
      <c r="B794" s="365"/>
      <c r="C794" s="365"/>
      <c r="D794" s="366"/>
      <c r="E794" s="366"/>
      <c r="F794" s="367"/>
      <c r="G794" s="367"/>
      <c r="H794" s="366"/>
      <c r="I794" s="366"/>
      <c r="J794" s="368"/>
      <c r="K794" s="368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1"/>
      <c r="Y794" s="341"/>
      <c r="Z794" s="341"/>
      <c r="AA794" s="341"/>
      <c r="AB794" s="341"/>
      <c r="AC794" s="341"/>
      <c r="AD794" s="341"/>
      <c r="AE794" s="341"/>
      <c r="AF794" s="341"/>
    </row>
    <row r="795" spans="1:32" ht="15">
      <c r="A795" s="341"/>
      <c r="B795" s="365"/>
      <c r="C795" s="365"/>
      <c r="D795" s="366"/>
      <c r="E795" s="366"/>
      <c r="F795" s="367"/>
      <c r="G795" s="367"/>
      <c r="H795" s="366"/>
      <c r="I795" s="366"/>
      <c r="J795" s="368"/>
      <c r="K795" s="368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1"/>
      <c r="Y795" s="341"/>
      <c r="Z795" s="341"/>
      <c r="AA795" s="341"/>
      <c r="AB795" s="341"/>
      <c r="AC795" s="341"/>
      <c r="AD795" s="341"/>
      <c r="AE795" s="341"/>
      <c r="AF795" s="341"/>
    </row>
    <row r="796" spans="1:32" ht="15">
      <c r="A796" s="341"/>
      <c r="B796" s="365"/>
      <c r="C796" s="365"/>
      <c r="D796" s="366"/>
      <c r="E796" s="366"/>
      <c r="F796" s="367"/>
      <c r="G796" s="367"/>
      <c r="H796" s="366"/>
      <c r="I796" s="366"/>
      <c r="J796" s="368"/>
      <c r="K796" s="368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1"/>
      <c r="Y796" s="341"/>
      <c r="Z796" s="341"/>
      <c r="AA796" s="341"/>
      <c r="AB796" s="341"/>
      <c r="AC796" s="341"/>
      <c r="AD796" s="341"/>
      <c r="AE796" s="341"/>
      <c r="AF796" s="341"/>
    </row>
    <row r="797" spans="1:32" ht="15">
      <c r="A797" s="341"/>
      <c r="B797" s="365"/>
      <c r="C797" s="365"/>
      <c r="D797" s="366"/>
      <c r="E797" s="366"/>
      <c r="F797" s="367"/>
      <c r="G797" s="367"/>
      <c r="H797" s="366"/>
      <c r="I797" s="366"/>
      <c r="J797" s="368"/>
      <c r="K797" s="368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1"/>
      <c r="Y797" s="341"/>
      <c r="Z797" s="341"/>
      <c r="AA797" s="341"/>
      <c r="AB797" s="341"/>
      <c r="AC797" s="341"/>
      <c r="AD797" s="341"/>
      <c r="AE797" s="341"/>
      <c r="AF797" s="341"/>
    </row>
    <row r="798" spans="1:32" ht="15">
      <c r="A798" s="341"/>
      <c r="B798" s="365"/>
      <c r="C798" s="365"/>
      <c r="D798" s="366"/>
      <c r="E798" s="366"/>
      <c r="F798" s="367"/>
      <c r="G798" s="367"/>
      <c r="H798" s="366"/>
      <c r="I798" s="366"/>
      <c r="J798" s="368"/>
      <c r="K798" s="368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1"/>
      <c r="Y798" s="341"/>
      <c r="Z798" s="341"/>
      <c r="AA798" s="341"/>
      <c r="AB798" s="341"/>
      <c r="AC798" s="341"/>
      <c r="AD798" s="341"/>
      <c r="AE798" s="341"/>
      <c r="AF798" s="341"/>
    </row>
    <row r="799" spans="1:32" ht="15">
      <c r="A799" s="341"/>
      <c r="B799" s="365"/>
      <c r="C799" s="365"/>
      <c r="D799" s="366"/>
      <c r="E799" s="366"/>
      <c r="F799" s="367"/>
      <c r="G799" s="367"/>
      <c r="H799" s="366"/>
      <c r="I799" s="366"/>
      <c r="J799" s="368"/>
      <c r="K799" s="368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1"/>
      <c r="Y799" s="341"/>
      <c r="Z799" s="341"/>
      <c r="AA799" s="341"/>
      <c r="AB799" s="341"/>
      <c r="AC799" s="341"/>
      <c r="AD799" s="341"/>
      <c r="AE799" s="341"/>
      <c r="AF799" s="341"/>
    </row>
    <row r="800" spans="1:32" ht="15">
      <c r="A800" s="341"/>
      <c r="B800" s="365"/>
      <c r="C800" s="365"/>
      <c r="D800" s="366"/>
      <c r="E800" s="366"/>
      <c r="F800" s="367"/>
      <c r="G800" s="367"/>
      <c r="H800" s="366"/>
      <c r="I800" s="366"/>
      <c r="J800" s="368"/>
      <c r="K800" s="368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1"/>
      <c r="Y800" s="341"/>
      <c r="Z800" s="341"/>
      <c r="AA800" s="341"/>
      <c r="AB800" s="341"/>
      <c r="AC800" s="341"/>
      <c r="AD800" s="341"/>
      <c r="AE800" s="341"/>
      <c r="AF800" s="341"/>
    </row>
    <row r="801" spans="1:32" ht="15">
      <c r="A801" s="341"/>
      <c r="B801" s="365"/>
      <c r="C801" s="365"/>
      <c r="D801" s="366"/>
      <c r="E801" s="366"/>
      <c r="F801" s="367"/>
      <c r="G801" s="367"/>
      <c r="H801" s="366"/>
      <c r="I801" s="366"/>
      <c r="J801" s="368"/>
      <c r="K801" s="368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1"/>
      <c r="Y801" s="341"/>
      <c r="Z801" s="341"/>
      <c r="AA801" s="341"/>
      <c r="AB801" s="341"/>
      <c r="AC801" s="341"/>
      <c r="AD801" s="341"/>
      <c r="AE801" s="341"/>
      <c r="AF801" s="341"/>
    </row>
    <row r="802" spans="1:32" ht="15">
      <c r="A802" s="341"/>
      <c r="B802" s="365"/>
      <c r="C802" s="365"/>
      <c r="D802" s="366"/>
      <c r="E802" s="366"/>
      <c r="F802" s="367"/>
      <c r="G802" s="367"/>
      <c r="H802" s="366"/>
      <c r="I802" s="366"/>
      <c r="J802" s="368"/>
      <c r="K802" s="368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1"/>
      <c r="Y802" s="341"/>
      <c r="Z802" s="341"/>
      <c r="AA802" s="341"/>
      <c r="AB802" s="341"/>
      <c r="AC802" s="341"/>
      <c r="AD802" s="341"/>
      <c r="AE802" s="341"/>
      <c r="AF802" s="341"/>
    </row>
    <row r="803" spans="1:32" ht="15">
      <c r="A803" s="341"/>
      <c r="B803" s="365"/>
      <c r="C803" s="365"/>
      <c r="D803" s="366"/>
      <c r="E803" s="366"/>
      <c r="F803" s="367"/>
      <c r="G803" s="367"/>
      <c r="H803" s="366"/>
      <c r="I803" s="366"/>
      <c r="J803" s="368"/>
      <c r="K803" s="368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1"/>
      <c r="Y803" s="341"/>
      <c r="Z803" s="341"/>
      <c r="AA803" s="341"/>
      <c r="AB803" s="341"/>
      <c r="AC803" s="341"/>
      <c r="AD803" s="341"/>
      <c r="AE803" s="341"/>
      <c r="AF803" s="341"/>
    </row>
    <row r="804" spans="1:32" ht="15">
      <c r="A804" s="341"/>
      <c r="B804" s="365"/>
      <c r="C804" s="365"/>
      <c r="D804" s="366"/>
      <c r="E804" s="366"/>
      <c r="F804" s="367"/>
      <c r="G804" s="367"/>
      <c r="H804" s="366"/>
      <c r="I804" s="366"/>
      <c r="J804" s="368"/>
      <c r="K804" s="368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1"/>
      <c r="Y804" s="341"/>
      <c r="Z804" s="341"/>
      <c r="AA804" s="341"/>
      <c r="AB804" s="341"/>
      <c r="AC804" s="341"/>
      <c r="AD804" s="341"/>
      <c r="AE804" s="341"/>
      <c r="AF804" s="341"/>
    </row>
    <row r="805" spans="1:32" ht="15">
      <c r="A805" s="341"/>
      <c r="B805" s="365"/>
      <c r="C805" s="365"/>
      <c r="D805" s="366"/>
      <c r="E805" s="366"/>
      <c r="F805" s="367"/>
      <c r="G805" s="367"/>
      <c r="H805" s="366"/>
      <c r="I805" s="366"/>
      <c r="J805" s="368"/>
      <c r="K805" s="368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1"/>
      <c r="Y805" s="341"/>
      <c r="Z805" s="341"/>
      <c r="AA805" s="341"/>
      <c r="AB805" s="341"/>
      <c r="AC805" s="341"/>
      <c r="AD805" s="341"/>
      <c r="AE805" s="341"/>
      <c r="AF805" s="341"/>
    </row>
    <row r="806" spans="1:32" ht="15">
      <c r="A806" s="341"/>
      <c r="B806" s="365"/>
      <c r="C806" s="365"/>
      <c r="D806" s="366"/>
      <c r="E806" s="366"/>
      <c r="F806" s="367"/>
      <c r="G806" s="367"/>
      <c r="H806" s="366"/>
      <c r="I806" s="366"/>
      <c r="J806" s="368"/>
      <c r="K806" s="368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1"/>
      <c r="Y806" s="341"/>
      <c r="Z806" s="341"/>
      <c r="AA806" s="341"/>
      <c r="AB806" s="341"/>
      <c r="AC806" s="341"/>
      <c r="AD806" s="341"/>
      <c r="AE806" s="341"/>
      <c r="AF806" s="341"/>
    </row>
    <row r="807" spans="1:32" ht="15">
      <c r="A807" s="341"/>
      <c r="B807" s="365"/>
      <c r="C807" s="365"/>
      <c r="D807" s="366"/>
      <c r="E807" s="366"/>
      <c r="F807" s="367"/>
      <c r="G807" s="367"/>
      <c r="H807" s="366"/>
      <c r="I807" s="366"/>
      <c r="J807" s="368"/>
      <c r="K807" s="368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1"/>
      <c r="Y807" s="341"/>
      <c r="Z807" s="341"/>
      <c r="AA807" s="341"/>
      <c r="AB807" s="341"/>
      <c r="AC807" s="341"/>
      <c r="AD807" s="341"/>
      <c r="AE807" s="341"/>
      <c r="AF807" s="341"/>
    </row>
    <row r="808" spans="1:32" ht="15">
      <c r="A808" s="341"/>
      <c r="B808" s="365"/>
      <c r="C808" s="365"/>
      <c r="D808" s="366"/>
      <c r="E808" s="366"/>
      <c r="F808" s="367"/>
      <c r="G808" s="367"/>
      <c r="H808" s="366"/>
      <c r="I808" s="366"/>
      <c r="J808" s="368"/>
      <c r="K808" s="368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1"/>
      <c r="Y808" s="341"/>
      <c r="Z808" s="341"/>
      <c r="AA808" s="341"/>
      <c r="AB808" s="341"/>
      <c r="AC808" s="341"/>
      <c r="AD808" s="341"/>
      <c r="AE808" s="341"/>
      <c r="AF808" s="341"/>
    </row>
    <row r="809" spans="1:32" ht="15">
      <c r="A809" s="341"/>
      <c r="B809" s="365"/>
      <c r="C809" s="365"/>
      <c r="D809" s="366"/>
      <c r="E809" s="366"/>
      <c r="F809" s="367"/>
      <c r="G809" s="367"/>
      <c r="H809" s="366"/>
      <c r="I809" s="366"/>
      <c r="J809" s="368"/>
      <c r="K809" s="368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1"/>
      <c r="Y809" s="341"/>
      <c r="Z809" s="341"/>
      <c r="AA809" s="341"/>
      <c r="AB809" s="341"/>
      <c r="AC809" s="341"/>
      <c r="AD809" s="341"/>
      <c r="AE809" s="341"/>
      <c r="AF809" s="341"/>
    </row>
    <row r="810" spans="1:32" ht="15">
      <c r="A810" s="341"/>
      <c r="B810" s="365"/>
      <c r="C810" s="365"/>
      <c r="D810" s="366"/>
      <c r="E810" s="366"/>
      <c r="F810" s="367"/>
      <c r="G810" s="367"/>
      <c r="H810" s="366"/>
      <c r="I810" s="366"/>
      <c r="J810" s="368"/>
      <c r="K810" s="368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1"/>
      <c r="Y810" s="341"/>
      <c r="Z810" s="341"/>
      <c r="AA810" s="341"/>
      <c r="AB810" s="341"/>
      <c r="AC810" s="341"/>
      <c r="AD810" s="341"/>
      <c r="AE810" s="341"/>
      <c r="AF810" s="341"/>
    </row>
    <row r="811" spans="1:32" ht="15">
      <c r="A811" s="341"/>
      <c r="B811" s="365"/>
      <c r="C811" s="365"/>
      <c r="D811" s="366"/>
      <c r="E811" s="366"/>
      <c r="F811" s="367"/>
      <c r="G811" s="367"/>
      <c r="H811" s="366"/>
      <c r="I811" s="366"/>
      <c r="J811" s="368"/>
      <c r="K811" s="368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1"/>
      <c r="Y811" s="341"/>
      <c r="Z811" s="341"/>
      <c r="AA811" s="341"/>
      <c r="AB811" s="341"/>
      <c r="AC811" s="341"/>
      <c r="AD811" s="341"/>
      <c r="AE811" s="341"/>
      <c r="AF811" s="341"/>
    </row>
    <row r="812" spans="1:32" ht="15">
      <c r="A812" s="341"/>
      <c r="B812" s="365"/>
      <c r="C812" s="365"/>
      <c r="D812" s="366"/>
      <c r="E812" s="366"/>
      <c r="F812" s="367"/>
      <c r="G812" s="367"/>
      <c r="H812" s="366"/>
      <c r="I812" s="366"/>
      <c r="J812" s="368"/>
      <c r="K812" s="368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1"/>
      <c r="Y812" s="341"/>
      <c r="Z812" s="341"/>
      <c r="AA812" s="341"/>
      <c r="AB812" s="341"/>
      <c r="AC812" s="341"/>
      <c r="AD812" s="341"/>
      <c r="AE812" s="341"/>
      <c r="AF812" s="341"/>
    </row>
    <row r="813" spans="1:32" ht="15">
      <c r="A813" s="341"/>
      <c r="B813" s="365"/>
      <c r="C813" s="365"/>
      <c r="D813" s="366"/>
      <c r="E813" s="366"/>
      <c r="F813" s="367"/>
      <c r="G813" s="367"/>
      <c r="H813" s="366"/>
      <c r="I813" s="366"/>
      <c r="J813" s="368"/>
      <c r="K813" s="368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1"/>
      <c r="Y813" s="341"/>
      <c r="Z813" s="341"/>
      <c r="AA813" s="341"/>
      <c r="AB813" s="341"/>
      <c r="AC813" s="341"/>
      <c r="AD813" s="341"/>
      <c r="AE813" s="341"/>
      <c r="AF813" s="341"/>
    </row>
    <row r="814" spans="1:32" ht="15">
      <c r="A814" s="341"/>
      <c r="B814" s="365"/>
      <c r="C814" s="365"/>
      <c r="D814" s="366"/>
      <c r="E814" s="366"/>
      <c r="F814" s="367"/>
      <c r="G814" s="367"/>
      <c r="H814" s="366"/>
      <c r="I814" s="366"/>
      <c r="J814" s="368"/>
      <c r="K814" s="368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1"/>
      <c r="Y814" s="341"/>
      <c r="Z814" s="341"/>
      <c r="AA814" s="341"/>
      <c r="AB814" s="341"/>
      <c r="AC814" s="341"/>
      <c r="AD814" s="341"/>
      <c r="AE814" s="341"/>
      <c r="AF814" s="341"/>
    </row>
    <row r="815" spans="1:32" ht="15">
      <c r="A815" s="341"/>
      <c r="B815" s="365"/>
      <c r="C815" s="365"/>
      <c r="D815" s="366"/>
      <c r="E815" s="366"/>
      <c r="F815" s="367"/>
      <c r="G815" s="367"/>
      <c r="H815" s="366"/>
      <c r="I815" s="366"/>
      <c r="J815" s="368"/>
      <c r="K815" s="368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1"/>
      <c r="Y815" s="341"/>
      <c r="Z815" s="341"/>
      <c r="AA815" s="341"/>
      <c r="AB815" s="341"/>
      <c r="AC815" s="341"/>
      <c r="AD815" s="341"/>
      <c r="AE815" s="341"/>
      <c r="AF815" s="341"/>
    </row>
    <row r="816" spans="1:32" ht="15">
      <c r="A816" s="341"/>
      <c r="B816" s="365"/>
      <c r="C816" s="365"/>
      <c r="D816" s="366"/>
      <c r="E816" s="366"/>
      <c r="F816" s="367"/>
      <c r="G816" s="367"/>
      <c r="H816" s="366"/>
      <c r="I816" s="366"/>
      <c r="J816" s="368"/>
      <c r="K816" s="368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1"/>
      <c r="Y816" s="341"/>
      <c r="Z816" s="341"/>
      <c r="AA816" s="341"/>
      <c r="AB816" s="341"/>
      <c r="AC816" s="341"/>
      <c r="AD816" s="341"/>
      <c r="AE816" s="341"/>
      <c r="AF816" s="341"/>
    </row>
    <row r="817" spans="1:32" ht="15">
      <c r="A817" s="341"/>
      <c r="B817" s="365"/>
      <c r="C817" s="365"/>
      <c r="D817" s="366"/>
      <c r="E817" s="366"/>
      <c r="F817" s="367"/>
      <c r="G817" s="367"/>
      <c r="H817" s="366"/>
      <c r="I817" s="366"/>
      <c r="J817" s="368"/>
      <c r="K817" s="368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1"/>
      <c r="Y817" s="341"/>
      <c r="Z817" s="341"/>
      <c r="AA817" s="341"/>
      <c r="AB817" s="341"/>
      <c r="AC817" s="341"/>
      <c r="AD817" s="341"/>
      <c r="AE817" s="341"/>
      <c r="AF817" s="341"/>
    </row>
    <row r="818" spans="1:32" ht="15">
      <c r="A818" s="341"/>
      <c r="B818" s="365"/>
      <c r="C818" s="365"/>
      <c r="D818" s="366"/>
      <c r="E818" s="366"/>
      <c r="F818" s="367"/>
      <c r="G818" s="367"/>
      <c r="H818" s="366"/>
      <c r="I818" s="366"/>
      <c r="J818" s="368"/>
      <c r="K818" s="368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1"/>
      <c r="Y818" s="341"/>
      <c r="Z818" s="341"/>
      <c r="AA818" s="341"/>
      <c r="AB818" s="341"/>
      <c r="AC818" s="341"/>
      <c r="AD818" s="341"/>
      <c r="AE818" s="341"/>
      <c r="AF818" s="341"/>
    </row>
    <row r="819" spans="1:32" ht="15">
      <c r="A819" s="341"/>
      <c r="B819" s="365"/>
      <c r="C819" s="365"/>
      <c r="D819" s="366"/>
      <c r="E819" s="366"/>
      <c r="F819" s="367"/>
      <c r="G819" s="367"/>
      <c r="H819" s="366"/>
      <c r="I819" s="366"/>
      <c r="J819" s="368"/>
      <c r="K819" s="368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1"/>
      <c r="Y819" s="341"/>
      <c r="Z819" s="341"/>
      <c r="AA819" s="341"/>
      <c r="AB819" s="341"/>
      <c r="AC819" s="341"/>
      <c r="AD819" s="341"/>
      <c r="AE819" s="341"/>
      <c r="AF819" s="341"/>
    </row>
    <row r="820" spans="1:32" ht="15">
      <c r="A820" s="341"/>
      <c r="B820" s="365"/>
      <c r="C820" s="365"/>
      <c r="D820" s="366"/>
      <c r="E820" s="366"/>
      <c r="F820" s="367"/>
      <c r="G820" s="367"/>
      <c r="H820" s="366"/>
      <c r="I820" s="366"/>
      <c r="J820" s="368"/>
      <c r="K820" s="368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1"/>
      <c r="Y820" s="341"/>
      <c r="Z820" s="341"/>
      <c r="AA820" s="341"/>
      <c r="AB820" s="341"/>
      <c r="AC820" s="341"/>
      <c r="AD820" s="341"/>
      <c r="AE820" s="341"/>
      <c r="AF820" s="341"/>
    </row>
    <row r="821" spans="1:32" ht="15">
      <c r="A821" s="341"/>
      <c r="B821" s="365"/>
      <c r="C821" s="365"/>
      <c r="D821" s="366"/>
      <c r="E821" s="366"/>
      <c r="F821" s="367"/>
      <c r="G821" s="367"/>
      <c r="H821" s="366"/>
      <c r="I821" s="366"/>
      <c r="J821" s="368"/>
      <c r="K821" s="368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1"/>
      <c r="Y821" s="341"/>
      <c r="Z821" s="341"/>
      <c r="AA821" s="341"/>
      <c r="AB821" s="341"/>
      <c r="AC821" s="341"/>
      <c r="AD821" s="341"/>
      <c r="AE821" s="341"/>
      <c r="AF821" s="341"/>
    </row>
    <row r="822" spans="1:32" ht="15">
      <c r="A822" s="341"/>
      <c r="B822" s="365"/>
      <c r="C822" s="365"/>
      <c r="D822" s="366"/>
      <c r="E822" s="366"/>
      <c r="F822" s="367"/>
      <c r="G822" s="367"/>
      <c r="H822" s="366"/>
      <c r="I822" s="366"/>
      <c r="J822" s="368"/>
      <c r="K822" s="368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1"/>
      <c r="Y822" s="341"/>
      <c r="Z822" s="341"/>
      <c r="AA822" s="341"/>
      <c r="AB822" s="341"/>
      <c r="AC822" s="341"/>
      <c r="AD822" s="341"/>
      <c r="AE822" s="341"/>
      <c r="AF822" s="341"/>
    </row>
    <row r="823" spans="1:32" ht="15">
      <c r="A823" s="341"/>
      <c r="B823" s="365"/>
      <c r="C823" s="365"/>
      <c r="D823" s="366"/>
      <c r="E823" s="366"/>
      <c r="F823" s="367"/>
      <c r="G823" s="367"/>
      <c r="H823" s="366"/>
      <c r="I823" s="366"/>
      <c r="J823" s="368"/>
      <c r="K823" s="368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1"/>
      <c r="Y823" s="341"/>
      <c r="Z823" s="341"/>
      <c r="AA823" s="341"/>
      <c r="AB823" s="341"/>
      <c r="AC823" s="341"/>
      <c r="AD823" s="341"/>
      <c r="AE823" s="341"/>
      <c r="AF823" s="341"/>
    </row>
    <row r="824" spans="1:32" ht="15">
      <c r="A824" s="341"/>
      <c r="B824" s="365"/>
      <c r="C824" s="365"/>
      <c r="D824" s="366"/>
      <c r="E824" s="366"/>
      <c r="F824" s="367"/>
      <c r="G824" s="367"/>
      <c r="H824" s="366"/>
      <c r="I824" s="366"/>
      <c r="J824" s="368"/>
      <c r="K824" s="368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1"/>
      <c r="Y824" s="341"/>
      <c r="Z824" s="341"/>
      <c r="AA824" s="341"/>
      <c r="AB824" s="341"/>
      <c r="AC824" s="341"/>
      <c r="AD824" s="341"/>
      <c r="AE824" s="341"/>
      <c r="AF824" s="341"/>
    </row>
    <row r="825" spans="1:32" ht="15">
      <c r="A825" s="341"/>
      <c r="B825" s="365"/>
      <c r="C825" s="365"/>
      <c r="D825" s="366"/>
      <c r="E825" s="366"/>
      <c r="F825" s="367"/>
      <c r="G825" s="367"/>
      <c r="H825" s="366"/>
      <c r="I825" s="366"/>
      <c r="J825" s="368"/>
      <c r="K825" s="368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1"/>
      <c r="Y825" s="341"/>
      <c r="Z825" s="341"/>
      <c r="AA825" s="341"/>
      <c r="AB825" s="341"/>
      <c r="AC825" s="341"/>
      <c r="AD825" s="341"/>
      <c r="AE825" s="341"/>
      <c r="AF825" s="341"/>
    </row>
    <row r="826" spans="1:32" ht="15">
      <c r="A826" s="341"/>
      <c r="B826" s="365"/>
      <c r="C826" s="365"/>
      <c r="D826" s="366"/>
      <c r="E826" s="366"/>
      <c r="F826" s="367"/>
      <c r="G826" s="367"/>
      <c r="H826" s="366"/>
      <c r="I826" s="366"/>
      <c r="J826" s="368"/>
      <c r="K826" s="368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1"/>
      <c r="Y826" s="341"/>
      <c r="Z826" s="341"/>
      <c r="AA826" s="341"/>
      <c r="AB826" s="341"/>
      <c r="AC826" s="341"/>
      <c r="AD826" s="341"/>
      <c r="AE826" s="341"/>
      <c r="AF826" s="341"/>
    </row>
    <row r="827" spans="1:32" ht="15">
      <c r="A827" s="341"/>
      <c r="B827" s="365"/>
      <c r="C827" s="365"/>
      <c r="D827" s="366"/>
      <c r="E827" s="366"/>
      <c r="F827" s="367"/>
      <c r="G827" s="367"/>
      <c r="H827" s="366"/>
      <c r="I827" s="366"/>
      <c r="J827" s="368"/>
      <c r="K827" s="368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1"/>
      <c r="Y827" s="341"/>
      <c r="Z827" s="341"/>
      <c r="AA827" s="341"/>
      <c r="AB827" s="341"/>
      <c r="AC827" s="341"/>
      <c r="AD827" s="341"/>
      <c r="AE827" s="341"/>
      <c r="AF827" s="341"/>
    </row>
    <row r="828" spans="1:32" ht="15">
      <c r="A828" s="341"/>
      <c r="B828" s="365"/>
      <c r="C828" s="365"/>
      <c r="D828" s="366"/>
      <c r="E828" s="366"/>
      <c r="F828" s="367"/>
      <c r="G828" s="367"/>
      <c r="H828" s="366"/>
      <c r="I828" s="366"/>
      <c r="J828" s="368"/>
      <c r="K828" s="368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1"/>
      <c r="Y828" s="341"/>
      <c r="Z828" s="341"/>
      <c r="AA828" s="341"/>
      <c r="AB828" s="341"/>
      <c r="AC828" s="341"/>
      <c r="AD828" s="341"/>
      <c r="AE828" s="341"/>
      <c r="AF828" s="341"/>
    </row>
    <row r="829" spans="1:32" ht="15">
      <c r="A829" s="341"/>
      <c r="B829" s="365"/>
      <c r="C829" s="365"/>
      <c r="D829" s="366"/>
      <c r="E829" s="366"/>
      <c r="F829" s="367"/>
      <c r="G829" s="367"/>
      <c r="H829" s="366"/>
      <c r="I829" s="366"/>
      <c r="J829" s="368"/>
      <c r="K829" s="368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1"/>
      <c r="Y829" s="341"/>
      <c r="Z829" s="341"/>
      <c r="AA829" s="341"/>
      <c r="AB829" s="341"/>
      <c r="AC829" s="341"/>
      <c r="AD829" s="341"/>
      <c r="AE829" s="341"/>
      <c r="AF829" s="341"/>
    </row>
    <row r="830" spans="1:32" ht="15">
      <c r="A830" s="341"/>
      <c r="B830" s="365"/>
      <c r="C830" s="365"/>
      <c r="D830" s="366"/>
      <c r="E830" s="366"/>
      <c r="F830" s="367"/>
      <c r="G830" s="367"/>
      <c r="H830" s="366"/>
      <c r="I830" s="366"/>
      <c r="J830" s="368"/>
      <c r="K830" s="368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1"/>
      <c r="Y830" s="341"/>
      <c r="Z830" s="341"/>
      <c r="AA830" s="341"/>
      <c r="AB830" s="341"/>
      <c r="AC830" s="341"/>
      <c r="AD830" s="341"/>
      <c r="AE830" s="341"/>
      <c r="AF830" s="341"/>
    </row>
    <row r="831" spans="1:32" ht="15">
      <c r="A831" s="341"/>
      <c r="B831" s="365"/>
      <c r="C831" s="365"/>
      <c r="D831" s="366"/>
      <c r="E831" s="366"/>
      <c r="F831" s="367"/>
      <c r="G831" s="367"/>
      <c r="H831" s="366"/>
      <c r="I831" s="366"/>
      <c r="J831" s="368"/>
      <c r="K831" s="368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1"/>
      <c r="Y831" s="341"/>
      <c r="Z831" s="341"/>
      <c r="AA831" s="341"/>
      <c r="AB831" s="341"/>
      <c r="AC831" s="341"/>
      <c r="AD831" s="341"/>
      <c r="AE831" s="341"/>
      <c r="AF831" s="341"/>
    </row>
    <row r="832" spans="1:32" ht="15">
      <c r="A832" s="341"/>
      <c r="B832" s="365"/>
      <c r="C832" s="365"/>
      <c r="D832" s="366"/>
      <c r="E832" s="366"/>
      <c r="F832" s="367"/>
      <c r="G832" s="367"/>
      <c r="H832" s="366"/>
      <c r="I832" s="366"/>
      <c r="J832" s="368"/>
      <c r="K832" s="368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1"/>
      <c r="Y832" s="341"/>
      <c r="Z832" s="341"/>
      <c r="AA832" s="341"/>
      <c r="AB832" s="341"/>
      <c r="AC832" s="341"/>
      <c r="AD832" s="341"/>
      <c r="AE832" s="341"/>
      <c r="AF832" s="341"/>
    </row>
    <row r="833" spans="1:32" ht="15">
      <c r="A833" s="341"/>
      <c r="B833" s="365"/>
      <c r="C833" s="365"/>
      <c r="D833" s="366"/>
      <c r="E833" s="366"/>
      <c r="F833" s="367"/>
      <c r="G833" s="367"/>
      <c r="H833" s="366"/>
      <c r="I833" s="366"/>
      <c r="J833" s="368"/>
      <c r="K833" s="368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1"/>
      <c r="Y833" s="341"/>
      <c r="Z833" s="341"/>
      <c r="AA833" s="341"/>
      <c r="AB833" s="341"/>
      <c r="AC833" s="341"/>
      <c r="AD833" s="341"/>
      <c r="AE833" s="341"/>
      <c r="AF833" s="341"/>
    </row>
    <row r="834" spans="1:32" ht="15">
      <c r="A834" s="341"/>
      <c r="B834" s="365"/>
      <c r="C834" s="365"/>
      <c r="D834" s="366"/>
      <c r="E834" s="366"/>
      <c r="F834" s="367"/>
      <c r="G834" s="367"/>
      <c r="H834" s="366"/>
      <c r="I834" s="366"/>
      <c r="J834" s="368"/>
      <c r="K834" s="368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1"/>
      <c r="Y834" s="341"/>
      <c r="Z834" s="341"/>
      <c r="AA834" s="341"/>
      <c r="AB834" s="341"/>
      <c r="AC834" s="341"/>
      <c r="AD834" s="341"/>
      <c r="AE834" s="341"/>
      <c r="AF834" s="341"/>
    </row>
    <row r="835" spans="1:32" ht="15">
      <c r="A835" s="341"/>
      <c r="B835" s="365"/>
      <c r="C835" s="365"/>
      <c r="D835" s="366"/>
      <c r="E835" s="366"/>
      <c r="F835" s="367"/>
      <c r="G835" s="367"/>
      <c r="H835" s="366"/>
      <c r="I835" s="366"/>
      <c r="J835" s="368"/>
      <c r="K835" s="368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1"/>
      <c r="Y835" s="341"/>
      <c r="Z835" s="341"/>
      <c r="AA835" s="341"/>
      <c r="AB835" s="341"/>
      <c r="AC835" s="341"/>
      <c r="AD835" s="341"/>
      <c r="AE835" s="341"/>
      <c r="AF835" s="341"/>
    </row>
    <row r="836" spans="1:32" ht="15">
      <c r="A836" s="341"/>
      <c r="B836" s="365"/>
      <c r="C836" s="365"/>
      <c r="D836" s="366"/>
      <c r="E836" s="366"/>
      <c r="F836" s="367"/>
      <c r="G836" s="367"/>
      <c r="H836" s="366"/>
      <c r="I836" s="366"/>
      <c r="J836" s="368"/>
      <c r="K836" s="368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1"/>
      <c r="Y836" s="341"/>
      <c r="Z836" s="341"/>
      <c r="AA836" s="341"/>
      <c r="AB836" s="341"/>
      <c r="AC836" s="341"/>
      <c r="AD836" s="341"/>
      <c r="AE836" s="341"/>
      <c r="AF836" s="341"/>
    </row>
    <row r="837" spans="1:32" ht="15">
      <c r="A837" s="341"/>
      <c r="B837" s="365"/>
      <c r="C837" s="365"/>
      <c r="D837" s="366"/>
      <c r="E837" s="366"/>
      <c r="F837" s="367"/>
      <c r="G837" s="367"/>
      <c r="H837" s="366"/>
      <c r="I837" s="366"/>
      <c r="J837" s="368"/>
      <c r="K837" s="368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1"/>
      <c r="Y837" s="341"/>
      <c r="Z837" s="341"/>
      <c r="AA837" s="341"/>
      <c r="AB837" s="341"/>
      <c r="AC837" s="341"/>
      <c r="AD837" s="341"/>
      <c r="AE837" s="341"/>
      <c r="AF837" s="341"/>
    </row>
    <row r="838" spans="1:32" ht="15">
      <c r="A838" s="341"/>
      <c r="B838" s="365"/>
      <c r="C838" s="365"/>
      <c r="D838" s="366"/>
      <c r="E838" s="366"/>
      <c r="F838" s="367"/>
      <c r="G838" s="367"/>
      <c r="H838" s="366"/>
      <c r="I838" s="366"/>
      <c r="J838" s="368"/>
      <c r="K838" s="368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1"/>
      <c r="Y838" s="341"/>
      <c r="Z838" s="341"/>
      <c r="AA838" s="341"/>
      <c r="AB838" s="341"/>
      <c r="AC838" s="341"/>
      <c r="AD838" s="341"/>
      <c r="AE838" s="341"/>
      <c r="AF838" s="341"/>
    </row>
    <row r="839" spans="1:32" ht="15">
      <c r="A839" s="341"/>
      <c r="B839" s="365"/>
      <c r="C839" s="365"/>
      <c r="D839" s="366"/>
      <c r="E839" s="366"/>
      <c r="F839" s="367"/>
      <c r="G839" s="367"/>
      <c r="H839" s="366"/>
      <c r="I839" s="366"/>
      <c r="J839" s="368"/>
      <c r="K839" s="368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1"/>
      <c r="Y839" s="341"/>
      <c r="Z839" s="341"/>
      <c r="AA839" s="341"/>
      <c r="AB839" s="341"/>
      <c r="AC839" s="341"/>
      <c r="AD839" s="341"/>
      <c r="AE839" s="341"/>
      <c r="AF839" s="341"/>
    </row>
    <row r="840" spans="1:32" ht="15">
      <c r="A840" s="341"/>
      <c r="B840" s="365"/>
      <c r="C840" s="365"/>
      <c r="D840" s="366"/>
      <c r="E840" s="366"/>
      <c r="F840" s="367"/>
      <c r="G840" s="367"/>
      <c r="H840" s="366"/>
      <c r="I840" s="366"/>
      <c r="J840" s="368"/>
      <c r="K840" s="368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1"/>
      <c r="Y840" s="341"/>
      <c r="Z840" s="341"/>
      <c r="AA840" s="341"/>
      <c r="AB840" s="341"/>
      <c r="AC840" s="341"/>
      <c r="AD840" s="341"/>
      <c r="AE840" s="341"/>
      <c r="AF840" s="341"/>
    </row>
    <row r="841" spans="1:32" ht="15">
      <c r="A841" s="341"/>
      <c r="B841" s="365"/>
      <c r="C841" s="365"/>
      <c r="D841" s="366"/>
      <c r="E841" s="366"/>
      <c r="F841" s="367"/>
      <c r="G841" s="367"/>
      <c r="H841" s="366"/>
      <c r="I841" s="366"/>
      <c r="J841" s="368"/>
      <c r="K841" s="368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1"/>
      <c r="Y841" s="341"/>
      <c r="Z841" s="341"/>
      <c r="AA841" s="341"/>
      <c r="AB841" s="341"/>
      <c r="AC841" s="341"/>
      <c r="AD841" s="341"/>
      <c r="AE841" s="341"/>
      <c r="AF841" s="341"/>
    </row>
    <row r="842" spans="1:32" ht="15">
      <c r="A842" s="341"/>
      <c r="B842" s="365"/>
      <c r="C842" s="365"/>
      <c r="D842" s="366"/>
      <c r="E842" s="366"/>
      <c r="F842" s="367"/>
      <c r="G842" s="367"/>
      <c r="H842" s="366"/>
      <c r="I842" s="366"/>
      <c r="J842" s="368"/>
      <c r="K842" s="368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1"/>
      <c r="Y842" s="341"/>
      <c r="Z842" s="341"/>
      <c r="AA842" s="341"/>
      <c r="AB842" s="341"/>
      <c r="AC842" s="341"/>
      <c r="AD842" s="341"/>
      <c r="AE842" s="341"/>
      <c r="AF842" s="341"/>
    </row>
    <row r="843" spans="1:32" ht="15">
      <c r="A843" s="341"/>
      <c r="B843" s="365"/>
      <c r="C843" s="365"/>
      <c r="D843" s="366"/>
      <c r="E843" s="366"/>
      <c r="F843" s="367"/>
      <c r="G843" s="367"/>
      <c r="H843" s="366"/>
      <c r="I843" s="366"/>
      <c r="J843" s="368"/>
      <c r="K843" s="368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1"/>
      <c r="Y843" s="341"/>
      <c r="Z843" s="341"/>
      <c r="AA843" s="341"/>
      <c r="AB843" s="341"/>
      <c r="AC843" s="341"/>
      <c r="AD843" s="341"/>
      <c r="AE843" s="341"/>
      <c r="AF843" s="341"/>
    </row>
    <row r="844" spans="1:32" ht="15">
      <c r="A844" s="341"/>
      <c r="B844" s="365"/>
      <c r="C844" s="365"/>
      <c r="D844" s="366"/>
      <c r="E844" s="366"/>
      <c r="F844" s="367"/>
      <c r="G844" s="367"/>
      <c r="H844" s="366"/>
      <c r="I844" s="366"/>
      <c r="J844" s="368"/>
      <c r="K844" s="368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1"/>
      <c r="Y844" s="341"/>
      <c r="Z844" s="341"/>
      <c r="AA844" s="341"/>
      <c r="AB844" s="341"/>
      <c r="AC844" s="341"/>
      <c r="AD844" s="341"/>
      <c r="AE844" s="341"/>
      <c r="AF844" s="341"/>
    </row>
    <row r="845" spans="1:32" ht="15">
      <c r="A845" s="341"/>
      <c r="B845" s="365"/>
      <c r="C845" s="365"/>
      <c r="D845" s="366"/>
      <c r="E845" s="366"/>
      <c r="F845" s="367"/>
      <c r="G845" s="367"/>
      <c r="H845" s="366"/>
      <c r="I845" s="366"/>
      <c r="J845" s="368"/>
      <c r="K845" s="368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1"/>
      <c r="Y845" s="341"/>
      <c r="Z845" s="341"/>
      <c r="AA845" s="341"/>
      <c r="AB845" s="341"/>
      <c r="AC845" s="341"/>
      <c r="AD845" s="341"/>
      <c r="AE845" s="341"/>
      <c r="AF845" s="341"/>
    </row>
    <row r="846" spans="1:32" ht="15">
      <c r="A846" s="341"/>
      <c r="B846" s="365"/>
      <c r="C846" s="365"/>
      <c r="D846" s="366"/>
      <c r="E846" s="366"/>
      <c r="F846" s="367"/>
      <c r="G846" s="367"/>
      <c r="H846" s="366"/>
      <c r="I846" s="366"/>
      <c r="J846" s="368"/>
      <c r="K846" s="368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1"/>
      <c r="Y846" s="341"/>
      <c r="Z846" s="341"/>
      <c r="AA846" s="341"/>
      <c r="AB846" s="341"/>
      <c r="AC846" s="341"/>
      <c r="AD846" s="341"/>
      <c r="AE846" s="341"/>
      <c r="AF846" s="341"/>
    </row>
    <row r="847" spans="1:32" ht="15">
      <c r="A847" s="341"/>
      <c r="B847" s="365"/>
      <c r="C847" s="365"/>
      <c r="D847" s="366"/>
      <c r="E847" s="366"/>
      <c r="F847" s="367"/>
      <c r="G847" s="367"/>
      <c r="H847" s="366"/>
      <c r="I847" s="366"/>
      <c r="J847" s="368"/>
      <c r="K847" s="368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1"/>
      <c r="Y847" s="341"/>
      <c r="Z847" s="341"/>
      <c r="AA847" s="341"/>
      <c r="AB847" s="341"/>
      <c r="AC847" s="341"/>
      <c r="AD847" s="341"/>
      <c r="AE847" s="341"/>
      <c r="AF847" s="341"/>
    </row>
    <row r="848" spans="1:32" ht="15">
      <c r="A848" s="341"/>
      <c r="B848" s="365"/>
      <c r="C848" s="365"/>
      <c r="D848" s="366"/>
      <c r="E848" s="366"/>
      <c r="F848" s="367"/>
      <c r="G848" s="367"/>
      <c r="H848" s="366"/>
      <c r="I848" s="366"/>
      <c r="J848" s="368"/>
      <c r="K848" s="368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1"/>
      <c r="Y848" s="341"/>
      <c r="Z848" s="341"/>
      <c r="AA848" s="341"/>
      <c r="AB848" s="341"/>
      <c r="AC848" s="341"/>
      <c r="AD848" s="341"/>
      <c r="AE848" s="341"/>
      <c r="AF848" s="341"/>
    </row>
    <row r="849" spans="1:32" ht="15">
      <c r="A849" s="341"/>
      <c r="B849" s="365"/>
      <c r="C849" s="365"/>
      <c r="D849" s="366"/>
      <c r="E849" s="366"/>
      <c r="F849" s="367"/>
      <c r="G849" s="367"/>
      <c r="H849" s="366"/>
      <c r="I849" s="366"/>
      <c r="J849" s="368"/>
      <c r="K849" s="368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1"/>
      <c r="Y849" s="341"/>
      <c r="Z849" s="341"/>
      <c r="AA849" s="341"/>
      <c r="AB849" s="341"/>
      <c r="AC849" s="341"/>
      <c r="AD849" s="341"/>
      <c r="AE849" s="341"/>
      <c r="AF849" s="341"/>
    </row>
    <row r="850" spans="1:32" ht="15">
      <c r="A850" s="341"/>
      <c r="B850" s="365"/>
      <c r="C850" s="365"/>
      <c r="D850" s="366"/>
      <c r="E850" s="366"/>
      <c r="F850" s="367"/>
      <c r="G850" s="367"/>
      <c r="H850" s="366"/>
      <c r="I850" s="366"/>
      <c r="J850" s="368"/>
      <c r="K850" s="368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1"/>
      <c r="Y850" s="341"/>
      <c r="Z850" s="341"/>
      <c r="AA850" s="341"/>
      <c r="AB850" s="341"/>
      <c r="AC850" s="341"/>
      <c r="AD850" s="341"/>
      <c r="AE850" s="341"/>
      <c r="AF850" s="341"/>
    </row>
    <row r="851" spans="1:32" ht="15">
      <c r="A851" s="341"/>
      <c r="B851" s="365"/>
      <c r="C851" s="365"/>
      <c r="D851" s="366"/>
      <c r="E851" s="366"/>
      <c r="F851" s="367"/>
      <c r="G851" s="367"/>
      <c r="H851" s="366"/>
      <c r="I851" s="366"/>
      <c r="J851" s="368"/>
      <c r="K851" s="368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1"/>
      <c r="Y851" s="341"/>
      <c r="Z851" s="341"/>
      <c r="AA851" s="341"/>
      <c r="AB851" s="341"/>
      <c r="AC851" s="341"/>
      <c r="AD851" s="341"/>
      <c r="AE851" s="341"/>
      <c r="AF851" s="341"/>
    </row>
    <row r="852" spans="1:32" ht="15">
      <c r="A852" s="341"/>
      <c r="B852" s="365"/>
      <c r="C852" s="365"/>
      <c r="D852" s="366"/>
      <c r="E852" s="366"/>
      <c r="F852" s="367"/>
      <c r="G852" s="367"/>
      <c r="H852" s="366"/>
      <c r="I852" s="366"/>
      <c r="J852" s="368"/>
      <c r="K852" s="368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1"/>
      <c r="Y852" s="341"/>
      <c r="Z852" s="341"/>
      <c r="AA852" s="341"/>
      <c r="AB852" s="341"/>
      <c r="AC852" s="341"/>
      <c r="AD852" s="341"/>
      <c r="AE852" s="341"/>
      <c r="AF852" s="341"/>
    </row>
    <row r="853" spans="1:32" ht="15">
      <c r="A853" s="341"/>
      <c r="B853" s="365"/>
      <c r="C853" s="365"/>
      <c r="D853" s="366"/>
      <c r="E853" s="366"/>
      <c r="F853" s="367"/>
      <c r="G853" s="367"/>
      <c r="H853" s="366"/>
      <c r="I853" s="366"/>
      <c r="J853" s="368"/>
      <c r="K853" s="368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1"/>
      <c r="Y853" s="341"/>
      <c r="Z853" s="341"/>
      <c r="AA853" s="341"/>
      <c r="AB853" s="341"/>
      <c r="AC853" s="341"/>
      <c r="AD853" s="341"/>
      <c r="AE853" s="341"/>
      <c r="AF853" s="341"/>
    </row>
    <row r="854" spans="1:32" ht="15">
      <c r="A854" s="341"/>
      <c r="B854" s="365"/>
      <c r="C854" s="365"/>
      <c r="D854" s="366"/>
      <c r="E854" s="366"/>
      <c r="F854" s="367"/>
      <c r="G854" s="367"/>
      <c r="H854" s="366"/>
      <c r="I854" s="366"/>
      <c r="J854" s="368"/>
      <c r="K854" s="368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1"/>
      <c r="Y854" s="341"/>
      <c r="Z854" s="341"/>
      <c r="AA854" s="341"/>
      <c r="AB854" s="341"/>
      <c r="AC854" s="341"/>
      <c r="AD854" s="341"/>
      <c r="AE854" s="341"/>
      <c r="AF854" s="341"/>
    </row>
    <row r="855" spans="1:32" ht="15">
      <c r="A855" s="341"/>
      <c r="B855" s="365"/>
      <c r="C855" s="365"/>
      <c r="D855" s="366"/>
      <c r="E855" s="366"/>
      <c r="F855" s="367"/>
      <c r="G855" s="367"/>
      <c r="H855" s="366"/>
      <c r="I855" s="366"/>
      <c r="J855" s="368"/>
      <c r="K855" s="368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1"/>
      <c r="Y855" s="341"/>
      <c r="Z855" s="341"/>
      <c r="AA855" s="341"/>
      <c r="AB855" s="341"/>
      <c r="AC855" s="341"/>
      <c r="AD855" s="341"/>
      <c r="AE855" s="341"/>
      <c r="AF855" s="341"/>
    </row>
    <row r="856" spans="1:32" ht="15">
      <c r="A856" s="341"/>
      <c r="B856" s="365"/>
      <c r="C856" s="365"/>
      <c r="D856" s="366"/>
      <c r="E856" s="366"/>
      <c r="F856" s="367"/>
      <c r="G856" s="367"/>
      <c r="H856" s="366"/>
      <c r="I856" s="366"/>
      <c r="J856" s="368"/>
      <c r="K856" s="368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1"/>
      <c r="Y856" s="341"/>
      <c r="Z856" s="341"/>
      <c r="AA856" s="341"/>
      <c r="AB856" s="341"/>
      <c r="AC856" s="341"/>
      <c r="AD856" s="341"/>
      <c r="AE856" s="341"/>
      <c r="AF856" s="341"/>
    </row>
    <row r="857" spans="1:32" ht="15">
      <c r="A857" s="341"/>
      <c r="B857" s="365"/>
      <c r="C857" s="365"/>
      <c r="D857" s="366"/>
      <c r="E857" s="366"/>
      <c r="F857" s="367"/>
      <c r="G857" s="367"/>
      <c r="H857" s="366"/>
      <c r="I857" s="366"/>
      <c r="J857" s="368"/>
      <c r="K857" s="368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1"/>
      <c r="Y857" s="341"/>
      <c r="Z857" s="341"/>
      <c r="AA857" s="341"/>
      <c r="AB857" s="341"/>
      <c r="AC857" s="341"/>
      <c r="AD857" s="341"/>
      <c r="AE857" s="341"/>
      <c r="AF857" s="341"/>
    </row>
    <row r="858" spans="1:32" ht="15">
      <c r="A858" s="341"/>
      <c r="B858" s="365"/>
      <c r="C858" s="365"/>
      <c r="D858" s="366"/>
      <c r="E858" s="366"/>
      <c r="F858" s="367"/>
      <c r="G858" s="367"/>
      <c r="H858" s="366"/>
      <c r="I858" s="366"/>
      <c r="J858" s="368"/>
      <c r="K858" s="368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1"/>
      <c r="Y858" s="341"/>
      <c r="Z858" s="341"/>
      <c r="AA858" s="341"/>
      <c r="AB858" s="341"/>
      <c r="AC858" s="341"/>
      <c r="AD858" s="341"/>
      <c r="AE858" s="341"/>
      <c r="AF858" s="341"/>
    </row>
    <row r="859" spans="1:32" ht="15">
      <c r="A859" s="341"/>
      <c r="B859" s="365"/>
      <c r="C859" s="365"/>
      <c r="D859" s="366"/>
      <c r="E859" s="366"/>
      <c r="F859" s="367"/>
      <c r="G859" s="367"/>
      <c r="H859" s="366"/>
      <c r="I859" s="366"/>
      <c r="J859" s="368"/>
      <c r="K859" s="368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1"/>
      <c r="Y859" s="341"/>
      <c r="Z859" s="341"/>
      <c r="AA859" s="341"/>
      <c r="AB859" s="341"/>
      <c r="AC859" s="341"/>
      <c r="AD859" s="341"/>
      <c r="AE859" s="341"/>
      <c r="AF859" s="341"/>
    </row>
    <row r="860" spans="1:32" ht="15">
      <c r="A860" s="341"/>
      <c r="B860" s="365"/>
      <c r="C860" s="365"/>
      <c r="D860" s="366"/>
      <c r="E860" s="366"/>
      <c r="F860" s="367"/>
      <c r="G860" s="367"/>
      <c r="H860" s="366"/>
      <c r="I860" s="366"/>
      <c r="J860" s="368"/>
      <c r="K860" s="368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1"/>
      <c r="Y860" s="341"/>
      <c r="Z860" s="341"/>
      <c r="AA860" s="341"/>
      <c r="AB860" s="341"/>
      <c r="AC860" s="341"/>
      <c r="AD860" s="341"/>
      <c r="AE860" s="341"/>
      <c r="AF860" s="341"/>
    </row>
    <row r="861" spans="1:32" ht="15">
      <c r="A861" s="341"/>
      <c r="B861" s="365"/>
      <c r="C861" s="365"/>
      <c r="D861" s="366"/>
      <c r="E861" s="366"/>
      <c r="F861" s="367"/>
      <c r="G861" s="367"/>
      <c r="H861" s="366"/>
      <c r="I861" s="366"/>
      <c r="J861" s="368"/>
      <c r="K861" s="368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1"/>
      <c r="Y861" s="341"/>
      <c r="Z861" s="341"/>
      <c r="AA861" s="341"/>
      <c r="AB861" s="341"/>
      <c r="AC861" s="341"/>
      <c r="AD861" s="341"/>
      <c r="AE861" s="341"/>
      <c r="AF861" s="341"/>
    </row>
    <row r="862" spans="1:32" ht="15">
      <c r="A862" s="341"/>
      <c r="B862" s="365"/>
      <c r="C862" s="365"/>
      <c r="D862" s="366"/>
      <c r="E862" s="366"/>
      <c r="F862" s="367"/>
      <c r="G862" s="367"/>
      <c r="H862" s="366"/>
      <c r="I862" s="366"/>
      <c r="J862" s="368"/>
      <c r="K862" s="368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1"/>
      <c r="Y862" s="341"/>
      <c r="Z862" s="341"/>
      <c r="AA862" s="341"/>
      <c r="AB862" s="341"/>
      <c r="AC862" s="341"/>
      <c r="AD862" s="341"/>
      <c r="AE862" s="341"/>
      <c r="AF862" s="341"/>
    </row>
    <row r="863" spans="1:32" ht="15">
      <c r="A863" s="341"/>
      <c r="B863" s="365"/>
      <c r="C863" s="365"/>
      <c r="D863" s="366"/>
      <c r="E863" s="366"/>
      <c r="F863" s="367"/>
      <c r="G863" s="367"/>
      <c r="H863" s="366"/>
      <c r="I863" s="366"/>
      <c r="J863" s="368"/>
      <c r="K863" s="368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1"/>
      <c r="Y863" s="341"/>
      <c r="Z863" s="341"/>
      <c r="AA863" s="341"/>
      <c r="AB863" s="341"/>
      <c r="AC863" s="341"/>
      <c r="AD863" s="341"/>
      <c r="AE863" s="341"/>
      <c r="AF863" s="341"/>
    </row>
    <row r="864" spans="1:32" ht="15">
      <c r="A864" s="341"/>
      <c r="B864" s="365"/>
      <c r="C864" s="365"/>
      <c r="D864" s="366"/>
      <c r="E864" s="366"/>
      <c r="F864" s="367"/>
      <c r="G864" s="367"/>
      <c r="H864" s="366"/>
      <c r="I864" s="366"/>
      <c r="J864" s="368"/>
      <c r="K864" s="368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1"/>
      <c r="Y864" s="341"/>
      <c r="Z864" s="341"/>
      <c r="AA864" s="341"/>
      <c r="AB864" s="341"/>
      <c r="AC864" s="341"/>
      <c r="AD864" s="341"/>
      <c r="AE864" s="341"/>
      <c r="AF864" s="341"/>
    </row>
    <row r="865" spans="1:32" ht="15">
      <c r="A865" s="341"/>
      <c r="B865" s="365"/>
      <c r="C865" s="365"/>
      <c r="D865" s="366"/>
      <c r="E865" s="366"/>
      <c r="F865" s="367"/>
      <c r="G865" s="367"/>
      <c r="H865" s="366"/>
      <c r="I865" s="366"/>
      <c r="J865" s="368"/>
      <c r="K865" s="368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1"/>
      <c r="Y865" s="341"/>
      <c r="Z865" s="341"/>
      <c r="AA865" s="341"/>
      <c r="AB865" s="341"/>
      <c r="AC865" s="341"/>
      <c r="AD865" s="341"/>
      <c r="AE865" s="341"/>
      <c r="AF865" s="341"/>
    </row>
    <row r="866" spans="1:32" ht="15">
      <c r="A866" s="341"/>
      <c r="B866" s="365"/>
      <c r="C866" s="365"/>
      <c r="D866" s="366"/>
      <c r="E866" s="366"/>
      <c r="F866" s="367"/>
      <c r="G866" s="367"/>
      <c r="H866" s="366"/>
      <c r="I866" s="366"/>
      <c r="J866" s="368"/>
      <c r="K866" s="368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1"/>
      <c r="Y866" s="341"/>
      <c r="Z866" s="341"/>
      <c r="AA866" s="341"/>
      <c r="AB866" s="341"/>
      <c r="AC866" s="341"/>
      <c r="AD866" s="341"/>
      <c r="AE866" s="341"/>
      <c r="AF866" s="341"/>
    </row>
    <row r="867" spans="1:32" ht="15">
      <c r="A867" s="341"/>
      <c r="B867" s="365"/>
      <c r="C867" s="365"/>
      <c r="D867" s="366"/>
      <c r="E867" s="366"/>
      <c r="F867" s="367"/>
      <c r="G867" s="367"/>
      <c r="H867" s="366"/>
      <c r="I867" s="366"/>
      <c r="J867" s="368"/>
      <c r="K867" s="368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1"/>
      <c r="Y867" s="341"/>
      <c r="Z867" s="341"/>
      <c r="AA867" s="341"/>
      <c r="AB867" s="341"/>
      <c r="AC867" s="341"/>
      <c r="AD867" s="341"/>
      <c r="AE867" s="341"/>
      <c r="AF867" s="341"/>
    </row>
    <row r="868" spans="1:32" ht="15">
      <c r="A868" s="341"/>
      <c r="B868" s="365"/>
      <c r="C868" s="365"/>
      <c r="D868" s="366"/>
      <c r="E868" s="366"/>
      <c r="F868" s="367"/>
      <c r="G868" s="367"/>
      <c r="H868" s="366"/>
      <c r="I868" s="366"/>
      <c r="J868" s="368"/>
      <c r="K868" s="368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1"/>
      <c r="Y868" s="341"/>
      <c r="Z868" s="341"/>
      <c r="AA868" s="341"/>
      <c r="AB868" s="341"/>
      <c r="AC868" s="341"/>
      <c r="AD868" s="341"/>
      <c r="AE868" s="341"/>
      <c r="AF868" s="341"/>
    </row>
    <row r="869" spans="1:32" ht="15">
      <c r="A869" s="341"/>
      <c r="B869" s="365"/>
      <c r="C869" s="365"/>
      <c r="D869" s="366"/>
      <c r="E869" s="366"/>
      <c r="F869" s="367"/>
      <c r="G869" s="367"/>
      <c r="H869" s="366"/>
      <c r="I869" s="366"/>
      <c r="J869" s="368"/>
      <c r="K869" s="368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1"/>
      <c r="Y869" s="341"/>
      <c r="Z869" s="341"/>
      <c r="AA869" s="341"/>
      <c r="AB869" s="341"/>
      <c r="AC869" s="341"/>
      <c r="AD869" s="341"/>
      <c r="AE869" s="341"/>
      <c r="AF869" s="341"/>
    </row>
    <row r="870" spans="1:32" ht="15">
      <c r="A870" s="341"/>
      <c r="B870" s="365"/>
      <c r="C870" s="365"/>
      <c r="D870" s="366"/>
      <c r="E870" s="366"/>
      <c r="F870" s="367"/>
      <c r="G870" s="367"/>
      <c r="H870" s="366"/>
      <c r="I870" s="366"/>
      <c r="J870" s="368"/>
      <c r="K870" s="368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1"/>
      <c r="Y870" s="341"/>
      <c r="Z870" s="341"/>
      <c r="AA870" s="341"/>
      <c r="AB870" s="341"/>
      <c r="AC870" s="341"/>
      <c r="AD870" s="341"/>
      <c r="AE870" s="341"/>
      <c r="AF870" s="341"/>
    </row>
    <row r="871" spans="1:32" ht="15">
      <c r="A871" s="341"/>
      <c r="B871" s="365"/>
      <c r="C871" s="365"/>
      <c r="D871" s="366"/>
      <c r="E871" s="366"/>
      <c r="F871" s="367"/>
      <c r="G871" s="367"/>
      <c r="H871" s="366"/>
      <c r="I871" s="366"/>
      <c r="J871" s="368"/>
      <c r="K871" s="368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1"/>
      <c r="Y871" s="341"/>
      <c r="Z871" s="341"/>
      <c r="AA871" s="341"/>
      <c r="AB871" s="341"/>
      <c r="AC871" s="341"/>
      <c r="AD871" s="341"/>
      <c r="AE871" s="341"/>
      <c r="AF871" s="341"/>
    </row>
    <row r="872" spans="1:32" ht="15">
      <c r="A872" s="341"/>
      <c r="B872" s="365"/>
      <c r="C872" s="365"/>
      <c r="D872" s="366"/>
      <c r="E872" s="366"/>
      <c r="F872" s="367"/>
      <c r="G872" s="367"/>
      <c r="H872" s="366"/>
      <c r="I872" s="366"/>
      <c r="J872" s="368"/>
      <c r="K872" s="368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1"/>
      <c r="Y872" s="341"/>
      <c r="Z872" s="341"/>
      <c r="AA872" s="341"/>
      <c r="AB872" s="341"/>
      <c r="AC872" s="341"/>
      <c r="AD872" s="341"/>
      <c r="AE872" s="341"/>
      <c r="AF872" s="341"/>
    </row>
    <row r="873" spans="1:32" ht="15">
      <c r="A873" s="341"/>
      <c r="B873" s="365"/>
      <c r="C873" s="365"/>
      <c r="D873" s="366"/>
      <c r="E873" s="366"/>
      <c r="F873" s="367"/>
      <c r="G873" s="367"/>
      <c r="H873" s="366"/>
      <c r="I873" s="366"/>
      <c r="J873" s="368"/>
      <c r="K873" s="368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1"/>
      <c r="Y873" s="341"/>
      <c r="Z873" s="341"/>
      <c r="AA873" s="341"/>
      <c r="AB873" s="341"/>
      <c r="AC873" s="341"/>
      <c r="AD873" s="341"/>
      <c r="AE873" s="341"/>
      <c r="AF873" s="341"/>
    </row>
    <row r="874" spans="1:32" ht="15">
      <c r="A874" s="341"/>
      <c r="B874" s="365"/>
      <c r="C874" s="365"/>
      <c r="D874" s="366"/>
      <c r="E874" s="366"/>
      <c r="F874" s="367"/>
      <c r="G874" s="367"/>
      <c r="H874" s="366"/>
      <c r="I874" s="366"/>
      <c r="J874" s="368"/>
      <c r="K874" s="368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1"/>
      <c r="Y874" s="341"/>
      <c r="Z874" s="341"/>
      <c r="AA874" s="341"/>
      <c r="AB874" s="341"/>
      <c r="AC874" s="341"/>
      <c r="AD874" s="341"/>
      <c r="AE874" s="341"/>
      <c r="AF874" s="341"/>
    </row>
    <row r="875" spans="1:32" ht="15">
      <c r="A875" s="341"/>
      <c r="B875" s="365"/>
      <c r="C875" s="365"/>
      <c r="D875" s="366"/>
      <c r="E875" s="366"/>
      <c r="F875" s="367"/>
      <c r="G875" s="367"/>
      <c r="H875" s="366"/>
      <c r="I875" s="366"/>
      <c r="J875" s="368"/>
      <c r="K875" s="368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1"/>
      <c r="Y875" s="341"/>
      <c r="Z875" s="341"/>
      <c r="AA875" s="341"/>
      <c r="AB875" s="341"/>
      <c r="AC875" s="341"/>
      <c r="AD875" s="341"/>
      <c r="AE875" s="341"/>
      <c r="AF875" s="341"/>
    </row>
    <row r="876" spans="1:32" ht="15">
      <c r="A876" s="341"/>
      <c r="B876" s="365"/>
      <c r="C876" s="365"/>
      <c r="D876" s="366"/>
      <c r="E876" s="366"/>
      <c r="F876" s="367"/>
      <c r="G876" s="367"/>
      <c r="H876" s="366"/>
      <c r="I876" s="366"/>
      <c r="J876" s="368"/>
      <c r="K876" s="368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1"/>
      <c r="Y876" s="341"/>
      <c r="Z876" s="341"/>
      <c r="AA876" s="341"/>
      <c r="AB876" s="341"/>
      <c r="AC876" s="341"/>
      <c r="AD876" s="341"/>
      <c r="AE876" s="341"/>
      <c r="AF876" s="341"/>
    </row>
    <row r="877" spans="1:32" ht="15">
      <c r="A877" s="341"/>
      <c r="B877" s="365"/>
      <c r="C877" s="365"/>
      <c r="D877" s="366"/>
      <c r="E877" s="366"/>
      <c r="F877" s="367"/>
      <c r="G877" s="367"/>
      <c r="H877" s="366"/>
      <c r="I877" s="366"/>
      <c r="J877" s="368"/>
      <c r="K877" s="368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1"/>
      <c r="Y877" s="341"/>
      <c r="Z877" s="341"/>
      <c r="AA877" s="341"/>
      <c r="AB877" s="341"/>
      <c r="AC877" s="341"/>
      <c r="AD877" s="341"/>
      <c r="AE877" s="341"/>
      <c r="AF877" s="341"/>
    </row>
    <row r="878" spans="1:32" ht="15">
      <c r="A878" s="341"/>
      <c r="B878" s="365"/>
      <c r="C878" s="365"/>
      <c r="D878" s="366"/>
      <c r="E878" s="366"/>
      <c r="F878" s="367"/>
      <c r="G878" s="367"/>
      <c r="H878" s="366"/>
      <c r="I878" s="366"/>
      <c r="J878" s="368"/>
      <c r="K878" s="368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1"/>
      <c r="Y878" s="341"/>
      <c r="Z878" s="341"/>
      <c r="AA878" s="341"/>
      <c r="AB878" s="341"/>
      <c r="AC878" s="341"/>
      <c r="AD878" s="341"/>
      <c r="AE878" s="341"/>
      <c r="AF878" s="341"/>
    </row>
    <row r="879" spans="1:32" ht="15">
      <c r="A879" s="341"/>
      <c r="B879" s="365"/>
      <c r="C879" s="365"/>
      <c r="D879" s="366"/>
      <c r="E879" s="366"/>
      <c r="F879" s="367"/>
      <c r="G879" s="367"/>
      <c r="H879" s="366"/>
      <c r="I879" s="366"/>
      <c r="J879" s="368"/>
      <c r="K879" s="368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1"/>
      <c r="Y879" s="341"/>
      <c r="Z879" s="341"/>
      <c r="AA879" s="341"/>
      <c r="AB879" s="341"/>
      <c r="AC879" s="341"/>
      <c r="AD879" s="341"/>
      <c r="AE879" s="341"/>
      <c r="AF879" s="341"/>
    </row>
    <row r="880" spans="1:32" ht="15">
      <c r="A880" s="341"/>
      <c r="B880" s="365"/>
      <c r="C880" s="365"/>
      <c r="D880" s="366"/>
      <c r="E880" s="366"/>
      <c r="F880" s="367"/>
      <c r="G880" s="367"/>
      <c r="H880" s="366"/>
      <c r="I880" s="366"/>
      <c r="J880" s="368"/>
      <c r="K880" s="368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1"/>
      <c r="Y880" s="341"/>
      <c r="Z880" s="341"/>
      <c r="AA880" s="341"/>
      <c r="AB880" s="341"/>
      <c r="AC880" s="341"/>
      <c r="AD880" s="341"/>
      <c r="AE880" s="341"/>
      <c r="AF880" s="341"/>
    </row>
    <row r="881" spans="1:32" ht="15">
      <c r="A881" s="341"/>
      <c r="B881" s="365"/>
      <c r="C881" s="365"/>
      <c r="D881" s="366"/>
      <c r="E881" s="366"/>
      <c r="F881" s="367"/>
      <c r="G881" s="367"/>
      <c r="H881" s="366"/>
      <c r="I881" s="366"/>
      <c r="J881" s="368"/>
      <c r="K881" s="368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1"/>
      <c r="Y881" s="341"/>
      <c r="Z881" s="341"/>
      <c r="AA881" s="341"/>
      <c r="AB881" s="341"/>
      <c r="AC881" s="341"/>
      <c r="AD881" s="341"/>
      <c r="AE881" s="341"/>
      <c r="AF881" s="341"/>
    </row>
    <row r="882" spans="1:32" ht="15">
      <c r="A882" s="341"/>
      <c r="B882" s="365"/>
      <c r="C882" s="365"/>
      <c r="D882" s="366"/>
      <c r="E882" s="366"/>
      <c r="F882" s="367"/>
      <c r="G882" s="367"/>
      <c r="H882" s="366"/>
      <c r="I882" s="366"/>
      <c r="J882" s="368"/>
      <c r="K882" s="368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1"/>
      <c r="Y882" s="341"/>
      <c r="Z882" s="341"/>
      <c r="AA882" s="341"/>
      <c r="AB882" s="341"/>
      <c r="AC882" s="341"/>
      <c r="AD882" s="341"/>
      <c r="AE882" s="341"/>
      <c r="AF882" s="341"/>
    </row>
    <row r="883" spans="1:32" ht="15">
      <c r="A883" s="341"/>
      <c r="B883" s="365"/>
      <c r="C883" s="365"/>
      <c r="D883" s="366"/>
      <c r="E883" s="366"/>
      <c r="F883" s="367"/>
      <c r="G883" s="367"/>
      <c r="H883" s="366"/>
      <c r="I883" s="366"/>
      <c r="J883" s="368"/>
      <c r="K883" s="368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1"/>
      <c r="Y883" s="341"/>
      <c r="Z883" s="341"/>
      <c r="AA883" s="341"/>
      <c r="AB883" s="341"/>
      <c r="AC883" s="341"/>
      <c r="AD883" s="341"/>
      <c r="AE883" s="341"/>
      <c r="AF883" s="341"/>
    </row>
    <row r="884" spans="1:32" ht="15">
      <c r="A884" s="341"/>
      <c r="B884" s="365"/>
      <c r="C884" s="365"/>
      <c r="D884" s="366"/>
      <c r="E884" s="366"/>
      <c r="F884" s="367"/>
      <c r="G884" s="367"/>
      <c r="H884" s="366"/>
      <c r="I884" s="366"/>
      <c r="J884" s="368"/>
      <c r="K884" s="368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1"/>
      <c r="Y884" s="341"/>
      <c r="Z884" s="341"/>
      <c r="AA884" s="341"/>
      <c r="AB884" s="341"/>
      <c r="AC884" s="341"/>
      <c r="AD884" s="341"/>
      <c r="AE884" s="341"/>
      <c r="AF884" s="341"/>
    </row>
    <row r="885" spans="1:32" ht="15">
      <c r="A885" s="341"/>
      <c r="B885" s="365"/>
      <c r="C885" s="365"/>
      <c r="D885" s="366"/>
      <c r="E885" s="366"/>
      <c r="F885" s="367"/>
      <c r="G885" s="367"/>
      <c r="H885" s="366"/>
      <c r="I885" s="366"/>
      <c r="J885" s="368"/>
      <c r="K885" s="368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1"/>
      <c r="Y885" s="341"/>
      <c r="Z885" s="341"/>
      <c r="AA885" s="341"/>
      <c r="AB885" s="341"/>
      <c r="AC885" s="341"/>
      <c r="AD885" s="341"/>
      <c r="AE885" s="341"/>
      <c r="AF885" s="341"/>
    </row>
    <row r="886" spans="1:32" ht="15">
      <c r="A886" s="341"/>
      <c r="B886" s="365"/>
      <c r="C886" s="365"/>
      <c r="D886" s="366"/>
      <c r="E886" s="366"/>
      <c r="F886" s="367"/>
      <c r="G886" s="367"/>
      <c r="H886" s="366"/>
      <c r="I886" s="366"/>
      <c r="J886" s="368"/>
      <c r="K886" s="368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1"/>
      <c r="Y886" s="341"/>
      <c r="Z886" s="341"/>
      <c r="AA886" s="341"/>
      <c r="AB886" s="341"/>
      <c r="AC886" s="341"/>
      <c r="AD886" s="341"/>
      <c r="AE886" s="341"/>
      <c r="AF886" s="341"/>
    </row>
    <row r="887" spans="1:32" ht="15">
      <c r="A887" s="341"/>
      <c r="B887" s="365"/>
      <c r="C887" s="365"/>
      <c r="D887" s="366"/>
      <c r="E887" s="366"/>
      <c r="F887" s="367"/>
      <c r="G887" s="367"/>
      <c r="H887" s="366"/>
      <c r="I887" s="366"/>
      <c r="J887" s="368"/>
      <c r="K887" s="368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1"/>
      <c r="Y887" s="341"/>
      <c r="Z887" s="341"/>
      <c r="AA887" s="341"/>
      <c r="AB887" s="341"/>
      <c r="AC887" s="341"/>
      <c r="AD887" s="341"/>
      <c r="AE887" s="341"/>
      <c r="AF887" s="341"/>
    </row>
    <row r="888" spans="1:32" ht="15">
      <c r="A888" s="341"/>
      <c r="B888" s="365"/>
      <c r="C888" s="365"/>
      <c r="D888" s="366"/>
      <c r="E888" s="366"/>
      <c r="F888" s="367"/>
      <c r="G888" s="367"/>
      <c r="H888" s="366"/>
      <c r="I888" s="366"/>
      <c r="J888" s="368"/>
      <c r="K888" s="368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1"/>
      <c r="Y888" s="341"/>
      <c r="Z888" s="341"/>
      <c r="AA888" s="341"/>
      <c r="AB888" s="341"/>
      <c r="AC888" s="341"/>
      <c r="AD888" s="341"/>
      <c r="AE888" s="341"/>
      <c r="AF888" s="341"/>
    </row>
    <row r="889" spans="1:32" ht="15">
      <c r="A889" s="341"/>
      <c r="B889" s="365"/>
      <c r="C889" s="365"/>
      <c r="D889" s="366"/>
      <c r="E889" s="366"/>
      <c r="F889" s="367"/>
      <c r="G889" s="367"/>
      <c r="H889" s="366"/>
      <c r="I889" s="366"/>
      <c r="J889" s="368"/>
      <c r="K889" s="368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1"/>
      <c r="Y889" s="341"/>
      <c r="Z889" s="341"/>
      <c r="AA889" s="341"/>
      <c r="AB889" s="341"/>
      <c r="AC889" s="341"/>
      <c r="AD889" s="341"/>
      <c r="AE889" s="341"/>
      <c r="AF889" s="341"/>
    </row>
    <row r="890" spans="1:32" ht="15">
      <c r="A890" s="341"/>
      <c r="B890" s="365"/>
      <c r="C890" s="365"/>
      <c r="D890" s="366"/>
      <c r="E890" s="366"/>
      <c r="F890" s="367"/>
      <c r="G890" s="367"/>
      <c r="H890" s="366"/>
      <c r="I890" s="366"/>
      <c r="J890" s="368"/>
      <c r="K890" s="368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1"/>
      <c r="Y890" s="341"/>
      <c r="Z890" s="341"/>
      <c r="AA890" s="341"/>
      <c r="AB890" s="341"/>
      <c r="AC890" s="341"/>
      <c r="AD890" s="341"/>
      <c r="AE890" s="341"/>
      <c r="AF890" s="341"/>
    </row>
    <row r="891" spans="1:32" ht="15">
      <c r="A891" s="341"/>
      <c r="B891" s="365"/>
      <c r="C891" s="365"/>
      <c r="D891" s="366"/>
      <c r="E891" s="366"/>
      <c r="F891" s="367"/>
      <c r="G891" s="367"/>
      <c r="H891" s="366"/>
      <c r="I891" s="366"/>
      <c r="J891" s="368"/>
      <c r="K891" s="368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1"/>
      <c r="Y891" s="341"/>
      <c r="Z891" s="341"/>
      <c r="AA891" s="341"/>
      <c r="AB891" s="341"/>
      <c r="AC891" s="341"/>
      <c r="AD891" s="341"/>
      <c r="AE891" s="341"/>
      <c r="AF891" s="341"/>
    </row>
    <row r="892" spans="1:32" ht="15">
      <c r="A892" s="341"/>
      <c r="B892" s="365"/>
      <c r="C892" s="365"/>
      <c r="D892" s="366"/>
      <c r="E892" s="366"/>
      <c r="F892" s="367"/>
      <c r="G892" s="367"/>
      <c r="H892" s="366"/>
      <c r="I892" s="366"/>
      <c r="J892" s="368"/>
      <c r="K892" s="368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1"/>
      <c r="Y892" s="341"/>
      <c r="Z892" s="341"/>
      <c r="AA892" s="341"/>
      <c r="AB892" s="341"/>
      <c r="AC892" s="341"/>
      <c r="AD892" s="341"/>
      <c r="AE892" s="341"/>
      <c r="AF892" s="341"/>
    </row>
    <row r="893" spans="1:32" ht="15">
      <c r="A893" s="341"/>
      <c r="B893" s="365"/>
      <c r="C893" s="365"/>
      <c r="D893" s="366"/>
      <c r="E893" s="366"/>
      <c r="F893" s="367"/>
      <c r="G893" s="367"/>
      <c r="H893" s="366"/>
      <c r="I893" s="366"/>
      <c r="J893" s="368"/>
      <c r="K893" s="368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1"/>
      <c r="Y893" s="341"/>
      <c r="Z893" s="341"/>
      <c r="AA893" s="341"/>
      <c r="AB893" s="341"/>
      <c r="AC893" s="341"/>
      <c r="AD893" s="341"/>
      <c r="AE893" s="341"/>
      <c r="AF893" s="341"/>
    </row>
    <row r="894" spans="1:32" ht="15">
      <c r="A894" s="341"/>
      <c r="B894" s="365"/>
      <c r="C894" s="365"/>
      <c r="D894" s="366"/>
      <c r="E894" s="366"/>
      <c r="F894" s="367"/>
      <c r="G894" s="367"/>
      <c r="H894" s="366"/>
      <c r="I894" s="366"/>
      <c r="J894" s="368"/>
      <c r="K894" s="368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1"/>
      <c r="Y894" s="341"/>
      <c r="Z894" s="341"/>
      <c r="AA894" s="341"/>
      <c r="AB894" s="341"/>
      <c r="AC894" s="341"/>
      <c r="AD894" s="341"/>
      <c r="AE894" s="341"/>
      <c r="AF894" s="341"/>
    </row>
    <row r="895" spans="1:32" ht="15">
      <c r="A895" s="341"/>
      <c r="B895" s="365"/>
      <c r="C895" s="365"/>
      <c r="D895" s="366"/>
      <c r="E895" s="366"/>
      <c r="F895" s="367"/>
      <c r="G895" s="367"/>
      <c r="H895" s="366"/>
      <c r="I895" s="366"/>
      <c r="J895" s="368"/>
      <c r="K895" s="368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1"/>
      <c r="Y895" s="341"/>
      <c r="Z895" s="341"/>
      <c r="AA895" s="341"/>
      <c r="AB895" s="341"/>
      <c r="AC895" s="341"/>
      <c r="AD895" s="341"/>
      <c r="AE895" s="341"/>
      <c r="AF895" s="341"/>
    </row>
    <row r="896" spans="1:32" ht="15">
      <c r="A896" s="341"/>
      <c r="B896" s="365"/>
      <c r="C896" s="365"/>
      <c r="D896" s="366"/>
      <c r="E896" s="366"/>
      <c r="F896" s="367"/>
      <c r="G896" s="367"/>
      <c r="H896" s="366"/>
      <c r="I896" s="366"/>
      <c r="J896" s="368"/>
      <c r="K896" s="368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1"/>
      <c r="Y896" s="341"/>
      <c r="Z896" s="341"/>
      <c r="AA896" s="341"/>
      <c r="AB896" s="341"/>
      <c r="AC896" s="341"/>
      <c r="AD896" s="341"/>
      <c r="AE896" s="341"/>
      <c r="AF896" s="341"/>
    </row>
    <row r="897" spans="1:32" ht="15">
      <c r="A897" s="341"/>
      <c r="B897" s="365"/>
      <c r="C897" s="365"/>
      <c r="D897" s="366"/>
      <c r="E897" s="366"/>
      <c r="F897" s="367"/>
      <c r="G897" s="367"/>
      <c r="H897" s="366"/>
      <c r="I897" s="366"/>
      <c r="J897" s="368"/>
      <c r="K897" s="368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1"/>
      <c r="Y897" s="341"/>
      <c r="Z897" s="341"/>
      <c r="AA897" s="341"/>
      <c r="AB897" s="341"/>
      <c r="AC897" s="341"/>
      <c r="AD897" s="341"/>
      <c r="AE897" s="341"/>
      <c r="AF897" s="341"/>
    </row>
    <row r="898" spans="1:32" ht="15">
      <c r="A898" s="341"/>
      <c r="B898" s="365"/>
      <c r="C898" s="365"/>
      <c r="D898" s="366"/>
      <c r="E898" s="366"/>
      <c r="F898" s="367"/>
      <c r="G898" s="367"/>
      <c r="H898" s="366"/>
      <c r="I898" s="366"/>
      <c r="J898" s="368"/>
      <c r="K898" s="368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1"/>
      <c r="Y898" s="341"/>
      <c r="Z898" s="341"/>
      <c r="AA898" s="341"/>
      <c r="AB898" s="341"/>
      <c r="AC898" s="341"/>
      <c r="AD898" s="341"/>
      <c r="AE898" s="341"/>
      <c r="AF898" s="341"/>
    </row>
    <row r="899" spans="1:32" ht="15">
      <c r="A899" s="341"/>
      <c r="B899" s="365"/>
      <c r="C899" s="365"/>
      <c r="D899" s="366"/>
      <c r="E899" s="366"/>
      <c r="F899" s="367"/>
      <c r="G899" s="367"/>
      <c r="H899" s="366"/>
      <c r="I899" s="366"/>
      <c r="J899" s="368"/>
      <c r="K899" s="368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1"/>
      <c r="Y899" s="341"/>
      <c r="Z899" s="341"/>
      <c r="AA899" s="341"/>
      <c r="AB899" s="341"/>
      <c r="AC899" s="341"/>
      <c r="AD899" s="341"/>
      <c r="AE899" s="341"/>
      <c r="AF899" s="341"/>
    </row>
    <row r="900" spans="1:32" ht="15">
      <c r="A900" s="341"/>
      <c r="B900" s="365"/>
      <c r="C900" s="365"/>
      <c r="D900" s="366"/>
      <c r="E900" s="366"/>
      <c r="F900" s="367"/>
      <c r="G900" s="367"/>
      <c r="H900" s="366"/>
      <c r="I900" s="366"/>
      <c r="J900" s="368"/>
      <c r="K900" s="368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1"/>
      <c r="Y900" s="341"/>
      <c r="Z900" s="341"/>
      <c r="AA900" s="341"/>
      <c r="AB900" s="341"/>
      <c r="AC900" s="341"/>
      <c r="AD900" s="341"/>
      <c r="AE900" s="341"/>
      <c r="AF900" s="341"/>
    </row>
    <row r="901" spans="1:32" ht="15">
      <c r="A901" s="341"/>
      <c r="B901" s="365"/>
      <c r="C901" s="365"/>
      <c r="D901" s="366"/>
      <c r="E901" s="366"/>
      <c r="F901" s="367"/>
      <c r="G901" s="367"/>
      <c r="H901" s="366"/>
      <c r="I901" s="366"/>
      <c r="J901" s="368"/>
      <c r="K901" s="368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1"/>
      <c r="Y901" s="341"/>
      <c r="Z901" s="341"/>
      <c r="AA901" s="341"/>
      <c r="AB901" s="341"/>
      <c r="AC901" s="341"/>
      <c r="AD901" s="341"/>
      <c r="AE901" s="341"/>
      <c r="AF901" s="341"/>
    </row>
    <row r="902" spans="1:32" ht="15">
      <c r="A902" s="341"/>
      <c r="B902" s="365"/>
      <c r="C902" s="365"/>
      <c r="D902" s="366"/>
      <c r="E902" s="366"/>
      <c r="F902" s="367"/>
      <c r="G902" s="367"/>
      <c r="H902" s="366"/>
      <c r="I902" s="366"/>
      <c r="J902" s="368"/>
      <c r="K902" s="368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1"/>
      <c r="Y902" s="341"/>
      <c r="Z902" s="341"/>
      <c r="AA902" s="341"/>
      <c r="AB902" s="341"/>
      <c r="AC902" s="341"/>
      <c r="AD902" s="341"/>
      <c r="AE902" s="341"/>
      <c r="AF902" s="341"/>
    </row>
    <row r="903" spans="1:32" ht="15">
      <c r="A903" s="341"/>
      <c r="B903" s="365"/>
      <c r="C903" s="365"/>
      <c r="D903" s="366"/>
      <c r="E903" s="366"/>
      <c r="F903" s="367"/>
      <c r="G903" s="367"/>
      <c r="H903" s="366"/>
      <c r="I903" s="366"/>
      <c r="J903" s="368"/>
      <c r="K903" s="368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1"/>
      <c r="Y903" s="341"/>
      <c r="Z903" s="341"/>
      <c r="AA903" s="341"/>
      <c r="AB903" s="341"/>
      <c r="AC903" s="341"/>
      <c r="AD903" s="341"/>
      <c r="AE903" s="341"/>
      <c r="AF903" s="341"/>
    </row>
    <row r="904" spans="1:32" ht="15">
      <c r="A904" s="341"/>
      <c r="B904" s="365"/>
      <c r="C904" s="365"/>
      <c r="D904" s="366"/>
      <c r="E904" s="366"/>
      <c r="F904" s="367"/>
      <c r="G904" s="367"/>
      <c r="H904" s="366"/>
      <c r="I904" s="366"/>
      <c r="J904" s="368"/>
      <c r="K904" s="368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1"/>
      <c r="Y904" s="341"/>
      <c r="Z904" s="341"/>
      <c r="AA904" s="341"/>
      <c r="AB904" s="341"/>
      <c r="AC904" s="341"/>
      <c r="AD904" s="341"/>
      <c r="AE904" s="341"/>
      <c r="AF904" s="341"/>
    </row>
    <row r="905" spans="1:32" ht="15">
      <c r="A905" s="341"/>
      <c r="B905" s="365"/>
      <c r="C905" s="365"/>
      <c r="D905" s="366"/>
      <c r="E905" s="366"/>
      <c r="F905" s="367"/>
      <c r="G905" s="367"/>
      <c r="H905" s="366"/>
      <c r="I905" s="366"/>
      <c r="J905" s="368"/>
      <c r="K905" s="368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1"/>
      <c r="Y905" s="341"/>
      <c r="Z905" s="341"/>
      <c r="AA905" s="341"/>
      <c r="AB905" s="341"/>
      <c r="AC905" s="341"/>
      <c r="AD905" s="341"/>
      <c r="AE905" s="341"/>
      <c r="AF905" s="341"/>
    </row>
    <row r="906" spans="1:32" ht="15">
      <c r="A906" s="341"/>
      <c r="B906" s="365"/>
      <c r="C906" s="365"/>
      <c r="D906" s="366"/>
      <c r="E906" s="366"/>
      <c r="F906" s="367"/>
      <c r="G906" s="367"/>
      <c r="H906" s="366"/>
      <c r="I906" s="366"/>
      <c r="J906" s="368"/>
      <c r="K906" s="368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1"/>
      <c r="Y906" s="341"/>
      <c r="Z906" s="341"/>
      <c r="AA906" s="341"/>
      <c r="AB906" s="341"/>
      <c r="AC906" s="341"/>
      <c r="AD906" s="341"/>
      <c r="AE906" s="341"/>
      <c r="AF906" s="341"/>
    </row>
    <row r="907" spans="1:32" ht="15">
      <c r="A907" s="341"/>
      <c r="B907" s="365"/>
      <c r="C907" s="365"/>
      <c r="D907" s="366"/>
      <c r="E907" s="366"/>
      <c r="F907" s="367"/>
      <c r="G907" s="367"/>
      <c r="H907" s="366"/>
      <c r="I907" s="366"/>
      <c r="J907" s="368"/>
      <c r="K907" s="368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1"/>
      <c r="Y907" s="341"/>
      <c r="Z907" s="341"/>
      <c r="AA907" s="341"/>
      <c r="AB907" s="341"/>
      <c r="AC907" s="341"/>
      <c r="AD907" s="341"/>
      <c r="AE907" s="341"/>
      <c r="AF907" s="341"/>
    </row>
    <row r="908" spans="1:32" ht="15">
      <c r="A908" s="341"/>
      <c r="B908" s="365"/>
      <c r="C908" s="365"/>
      <c r="D908" s="366"/>
      <c r="E908" s="366"/>
      <c r="F908" s="367"/>
      <c r="G908" s="367"/>
      <c r="H908" s="366"/>
      <c r="I908" s="366"/>
      <c r="J908" s="368"/>
      <c r="K908" s="368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1"/>
      <c r="Y908" s="341"/>
      <c r="Z908" s="341"/>
      <c r="AA908" s="341"/>
      <c r="AB908" s="341"/>
      <c r="AC908" s="341"/>
      <c r="AD908" s="341"/>
      <c r="AE908" s="341"/>
      <c r="AF908" s="341"/>
    </row>
    <row r="909" spans="1:32" ht="15">
      <c r="A909" s="341"/>
      <c r="B909" s="365"/>
      <c r="C909" s="365"/>
      <c r="D909" s="366"/>
      <c r="E909" s="366"/>
      <c r="F909" s="367"/>
      <c r="G909" s="367"/>
      <c r="H909" s="366"/>
      <c r="I909" s="366"/>
      <c r="J909" s="368"/>
      <c r="K909" s="368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1"/>
      <c r="Y909" s="341"/>
      <c r="Z909" s="341"/>
      <c r="AA909" s="341"/>
      <c r="AB909" s="341"/>
      <c r="AC909" s="341"/>
      <c r="AD909" s="341"/>
      <c r="AE909" s="341"/>
      <c r="AF909" s="341"/>
    </row>
    <row r="910" spans="1:32" ht="15">
      <c r="A910" s="341"/>
      <c r="B910" s="365"/>
      <c r="C910" s="365"/>
      <c r="D910" s="366"/>
      <c r="E910" s="366"/>
      <c r="F910" s="367"/>
      <c r="G910" s="367"/>
      <c r="H910" s="366"/>
      <c r="I910" s="366"/>
      <c r="J910" s="368"/>
      <c r="K910" s="368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1"/>
      <c r="Y910" s="341"/>
      <c r="Z910" s="341"/>
      <c r="AA910" s="341"/>
      <c r="AB910" s="341"/>
      <c r="AC910" s="341"/>
      <c r="AD910" s="341"/>
      <c r="AE910" s="341"/>
      <c r="AF910" s="341"/>
    </row>
    <row r="911" spans="1:32" ht="15">
      <c r="A911" s="341"/>
      <c r="B911" s="365"/>
      <c r="C911" s="365"/>
      <c r="D911" s="366"/>
      <c r="E911" s="366"/>
      <c r="F911" s="367"/>
      <c r="G911" s="367"/>
      <c r="H911" s="366"/>
      <c r="I911" s="366"/>
      <c r="J911" s="368"/>
      <c r="K911" s="368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1"/>
      <c r="Y911" s="341"/>
      <c r="Z911" s="341"/>
      <c r="AA911" s="341"/>
      <c r="AB911" s="341"/>
      <c r="AC911" s="341"/>
      <c r="AD911" s="341"/>
      <c r="AE911" s="341"/>
      <c r="AF911" s="341"/>
    </row>
    <row r="912" spans="1:32" ht="15">
      <c r="A912" s="341"/>
      <c r="B912" s="365"/>
      <c r="C912" s="365"/>
      <c r="D912" s="366"/>
      <c r="E912" s="366"/>
      <c r="F912" s="367"/>
      <c r="G912" s="367"/>
      <c r="H912" s="366"/>
      <c r="I912" s="366"/>
      <c r="J912" s="368"/>
      <c r="K912" s="368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1"/>
      <c r="Y912" s="341"/>
      <c r="Z912" s="341"/>
      <c r="AA912" s="341"/>
      <c r="AB912" s="341"/>
      <c r="AC912" s="341"/>
      <c r="AD912" s="341"/>
      <c r="AE912" s="341"/>
      <c r="AF912" s="341"/>
    </row>
    <row r="913" spans="1:32" ht="15">
      <c r="A913" s="341"/>
      <c r="B913" s="365"/>
      <c r="C913" s="365"/>
      <c r="D913" s="366"/>
      <c r="E913" s="366"/>
      <c r="F913" s="367"/>
      <c r="G913" s="367"/>
      <c r="H913" s="366"/>
      <c r="I913" s="366"/>
      <c r="J913" s="368"/>
      <c r="K913" s="368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1"/>
      <c r="Y913" s="341"/>
      <c r="Z913" s="341"/>
      <c r="AA913" s="341"/>
      <c r="AB913" s="341"/>
      <c r="AC913" s="341"/>
      <c r="AD913" s="341"/>
      <c r="AE913" s="341"/>
      <c r="AF913" s="341"/>
    </row>
    <row r="914" spans="1:32" ht="15">
      <c r="A914" s="341"/>
      <c r="B914" s="365"/>
      <c r="C914" s="365"/>
      <c r="D914" s="366"/>
      <c r="E914" s="366"/>
      <c r="F914" s="367"/>
      <c r="G914" s="367"/>
      <c r="H914" s="366"/>
      <c r="I914" s="366"/>
      <c r="J914" s="368"/>
      <c r="K914" s="368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1"/>
      <c r="Y914" s="341"/>
      <c r="Z914" s="341"/>
      <c r="AA914" s="341"/>
      <c r="AB914" s="341"/>
      <c r="AC914" s="341"/>
      <c r="AD914" s="341"/>
      <c r="AE914" s="341"/>
      <c r="AF914" s="341"/>
    </row>
    <row r="915" spans="1:32" ht="15">
      <c r="A915" s="341"/>
      <c r="B915" s="365"/>
      <c r="C915" s="365"/>
      <c r="D915" s="366"/>
      <c r="E915" s="366"/>
      <c r="F915" s="367"/>
      <c r="G915" s="367"/>
      <c r="H915" s="366"/>
      <c r="I915" s="366"/>
      <c r="J915" s="368"/>
      <c r="K915" s="368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1"/>
      <c r="Y915" s="341"/>
      <c r="Z915" s="341"/>
      <c r="AA915" s="341"/>
      <c r="AB915" s="341"/>
      <c r="AC915" s="341"/>
      <c r="AD915" s="341"/>
      <c r="AE915" s="341"/>
      <c r="AF915" s="341"/>
    </row>
    <row r="916" spans="1:32" ht="15">
      <c r="A916" s="341"/>
      <c r="B916" s="365"/>
      <c r="C916" s="365"/>
      <c r="D916" s="366"/>
      <c r="E916" s="366"/>
      <c r="F916" s="367"/>
      <c r="G916" s="367"/>
      <c r="H916" s="366"/>
      <c r="I916" s="366"/>
      <c r="J916" s="368"/>
      <c r="K916" s="368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1"/>
      <c r="Y916" s="341"/>
      <c r="Z916" s="341"/>
      <c r="AA916" s="341"/>
      <c r="AB916" s="341"/>
      <c r="AC916" s="341"/>
      <c r="AD916" s="341"/>
      <c r="AE916" s="341"/>
      <c r="AF916" s="341"/>
    </row>
    <row r="917" spans="1:32" ht="15">
      <c r="A917" s="341"/>
      <c r="B917" s="365"/>
      <c r="C917" s="365"/>
      <c r="D917" s="366"/>
      <c r="E917" s="366"/>
      <c r="F917" s="367"/>
      <c r="G917" s="367"/>
      <c r="H917" s="366"/>
      <c r="I917" s="366"/>
      <c r="J917" s="368"/>
      <c r="K917" s="368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1"/>
      <c r="Y917" s="341"/>
      <c r="Z917" s="341"/>
      <c r="AA917" s="341"/>
      <c r="AB917" s="341"/>
      <c r="AC917" s="341"/>
      <c r="AD917" s="341"/>
      <c r="AE917" s="341"/>
      <c r="AF917" s="341"/>
    </row>
    <row r="918" spans="1:32" ht="15">
      <c r="A918" s="341"/>
      <c r="B918" s="365"/>
      <c r="C918" s="365"/>
      <c r="D918" s="366"/>
      <c r="E918" s="366"/>
      <c r="F918" s="367"/>
      <c r="G918" s="367"/>
      <c r="H918" s="366"/>
      <c r="I918" s="366"/>
      <c r="J918" s="368"/>
      <c r="K918" s="368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1"/>
      <c r="Y918" s="341"/>
      <c r="Z918" s="341"/>
      <c r="AA918" s="341"/>
      <c r="AB918" s="341"/>
      <c r="AC918" s="341"/>
      <c r="AD918" s="341"/>
      <c r="AE918" s="341"/>
      <c r="AF918" s="341"/>
    </row>
    <row r="919" spans="1:32" ht="15">
      <c r="A919" s="341"/>
      <c r="B919" s="365"/>
      <c r="C919" s="365"/>
      <c r="D919" s="366"/>
      <c r="E919" s="366"/>
      <c r="F919" s="367"/>
      <c r="G919" s="367"/>
      <c r="H919" s="366"/>
      <c r="I919" s="366"/>
      <c r="J919" s="368"/>
      <c r="K919" s="368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1"/>
      <c r="Y919" s="341"/>
      <c r="Z919" s="341"/>
      <c r="AA919" s="341"/>
      <c r="AB919" s="341"/>
      <c r="AC919" s="341"/>
      <c r="AD919" s="341"/>
      <c r="AE919" s="341"/>
      <c r="AF919" s="341"/>
    </row>
    <row r="920" spans="1:32" ht="15">
      <c r="A920" s="341"/>
      <c r="B920" s="365"/>
      <c r="C920" s="365"/>
      <c r="D920" s="366"/>
      <c r="E920" s="366"/>
      <c r="F920" s="367"/>
      <c r="G920" s="367"/>
      <c r="H920" s="366"/>
      <c r="I920" s="366"/>
      <c r="J920" s="368"/>
      <c r="K920" s="368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1"/>
      <c r="Y920" s="341"/>
      <c r="Z920" s="341"/>
      <c r="AA920" s="341"/>
      <c r="AB920" s="341"/>
      <c r="AC920" s="341"/>
      <c r="AD920" s="341"/>
      <c r="AE920" s="341"/>
      <c r="AF920" s="341"/>
    </row>
    <row r="921" spans="1:32" ht="15">
      <c r="A921" s="341"/>
      <c r="B921" s="365"/>
      <c r="C921" s="365"/>
      <c r="D921" s="366"/>
      <c r="E921" s="366"/>
      <c r="F921" s="367"/>
      <c r="G921" s="367"/>
      <c r="H921" s="366"/>
      <c r="I921" s="366"/>
      <c r="J921" s="368"/>
      <c r="K921" s="368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1"/>
      <c r="Y921" s="341"/>
      <c r="Z921" s="341"/>
      <c r="AA921" s="341"/>
      <c r="AB921" s="341"/>
      <c r="AC921" s="341"/>
      <c r="AD921" s="341"/>
      <c r="AE921" s="341"/>
      <c r="AF921" s="341"/>
    </row>
    <row r="922" spans="1:32" ht="15">
      <c r="A922" s="341"/>
      <c r="B922" s="365"/>
      <c r="C922" s="365"/>
      <c r="D922" s="366"/>
      <c r="E922" s="366"/>
      <c r="F922" s="367"/>
      <c r="G922" s="367"/>
      <c r="H922" s="366"/>
      <c r="I922" s="366"/>
      <c r="J922" s="368"/>
      <c r="K922" s="368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1"/>
      <c r="Y922" s="341"/>
      <c r="Z922" s="341"/>
      <c r="AA922" s="341"/>
      <c r="AB922" s="341"/>
      <c r="AC922" s="341"/>
      <c r="AD922" s="341"/>
      <c r="AE922" s="341"/>
      <c r="AF922" s="341"/>
    </row>
    <row r="923" spans="1:32" ht="15">
      <c r="A923" s="341"/>
      <c r="B923" s="365"/>
      <c r="C923" s="365"/>
      <c r="D923" s="366"/>
      <c r="E923" s="366"/>
      <c r="F923" s="367"/>
      <c r="G923" s="367"/>
      <c r="H923" s="366"/>
      <c r="I923" s="366"/>
      <c r="J923" s="368"/>
      <c r="K923" s="368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1"/>
      <c r="Y923" s="341"/>
      <c r="Z923" s="341"/>
      <c r="AA923" s="341"/>
      <c r="AB923" s="341"/>
      <c r="AC923" s="341"/>
      <c r="AD923" s="341"/>
      <c r="AE923" s="341"/>
      <c r="AF923" s="341"/>
    </row>
    <row r="924" spans="1:32" ht="15">
      <c r="A924" s="341"/>
      <c r="B924" s="365"/>
      <c r="C924" s="365"/>
      <c r="D924" s="366"/>
      <c r="E924" s="366"/>
      <c r="F924" s="367"/>
      <c r="G924" s="367"/>
      <c r="H924" s="366"/>
      <c r="I924" s="366"/>
      <c r="J924" s="368"/>
      <c r="K924" s="368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1"/>
      <c r="Y924" s="341"/>
      <c r="Z924" s="341"/>
      <c r="AA924" s="341"/>
      <c r="AB924" s="341"/>
      <c r="AC924" s="341"/>
      <c r="AD924" s="341"/>
      <c r="AE924" s="341"/>
      <c r="AF924" s="341"/>
    </row>
    <row r="925" spans="1:32" ht="15">
      <c r="A925" s="341"/>
      <c r="B925" s="365"/>
      <c r="C925" s="365"/>
      <c r="D925" s="366"/>
      <c r="E925" s="366"/>
      <c r="F925" s="367"/>
      <c r="G925" s="367"/>
      <c r="H925" s="366"/>
      <c r="I925" s="366"/>
      <c r="J925" s="368"/>
      <c r="K925" s="368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1"/>
      <c r="Y925" s="341"/>
      <c r="Z925" s="341"/>
      <c r="AA925" s="341"/>
      <c r="AB925" s="341"/>
      <c r="AC925" s="341"/>
      <c r="AD925" s="341"/>
      <c r="AE925" s="341"/>
      <c r="AF925" s="341"/>
    </row>
    <row r="926" spans="1:32" ht="15">
      <c r="A926" s="341"/>
      <c r="B926" s="365"/>
      <c r="C926" s="365"/>
      <c r="D926" s="366"/>
      <c r="E926" s="366"/>
      <c r="F926" s="367"/>
      <c r="G926" s="367"/>
      <c r="H926" s="366"/>
      <c r="I926" s="366"/>
      <c r="J926" s="368"/>
      <c r="K926" s="368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1"/>
      <c r="Y926" s="341"/>
      <c r="Z926" s="341"/>
      <c r="AA926" s="341"/>
      <c r="AB926" s="341"/>
      <c r="AC926" s="341"/>
      <c r="AD926" s="341"/>
      <c r="AE926" s="341"/>
      <c r="AF926" s="341"/>
    </row>
    <row r="927" spans="1:32" ht="15">
      <c r="A927" s="341"/>
      <c r="B927" s="365"/>
      <c r="C927" s="365"/>
      <c r="D927" s="366"/>
      <c r="E927" s="366"/>
      <c r="F927" s="367"/>
      <c r="G927" s="367"/>
      <c r="H927" s="366"/>
      <c r="I927" s="366"/>
      <c r="J927" s="368"/>
      <c r="K927" s="368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1"/>
      <c r="Y927" s="341"/>
      <c r="Z927" s="341"/>
      <c r="AA927" s="341"/>
      <c r="AB927" s="341"/>
      <c r="AC927" s="341"/>
      <c r="AD927" s="341"/>
      <c r="AE927" s="341"/>
      <c r="AF927" s="341"/>
    </row>
    <row r="928" spans="1:32" ht="15">
      <c r="A928" s="341"/>
      <c r="B928" s="365"/>
      <c r="C928" s="365"/>
      <c r="D928" s="366"/>
      <c r="E928" s="366"/>
      <c r="F928" s="367"/>
      <c r="G928" s="367"/>
      <c r="H928" s="366"/>
      <c r="I928" s="366"/>
      <c r="J928" s="368"/>
      <c r="K928" s="368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1"/>
      <c r="Y928" s="341"/>
      <c r="Z928" s="341"/>
      <c r="AA928" s="341"/>
      <c r="AB928" s="341"/>
      <c r="AC928" s="341"/>
      <c r="AD928" s="341"/>
      <c r="AE928" s="341"/>
      <c r="AF928" s="341"/>
    </row>
    <row r="929" spans="1:32" ht="15">
      <c r="A929" s="341"/>
      <c r="B929" s="365"/>
      <c r="C929" s="365"/>
      <c r="D929" s="366"/>
      <c r="E929" s="366"/>
      <c r="F929" s="367"/>
      <c r="G929" s="367"/>
      <c r="H929" s="366"/>
      <c r="I929" s="366"/>
      <c r="J929" s="368"/>
      <c r="K929" s="368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1"/>
      <c r="Y929" s="341"/>
      <c r="Z929" s="341"/>
      <c r="AA929" s="341"/>
      <c r="AB929" s="341"/>
      <c r="AC929" s="341"/>
      <c r="AD929" s="341"/>
      <c r="AE929" s="341"/>
      <c r="AF929" s="341"/>
    </row>
    <row r="930" spans="1:32" ht="15">
      <c r="A930" s="341"/>
      <c r="B930" s="365"/>
      <c r="C930" s="365"/>
      <c r="D930" s="366"/>
      <c r="E930" s="366"/>
      <c r="F930" s="367"/>
      <c r="G930" s="367"/>
      <c r="H930" s="366"/>
      <c r="I930" s="366"/>
      <c r="J930" s="368"/>
      <c r="K930" s="368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1"/>
      <c r="Y930" s="341"/>
      <c r="Z930" s="341"/>
      <c r="AA930" s="341"/>
      <c r="AB930" s="341"/>
      <c r="AC930" s="341"/>
      <c r="AD930" s="341"/>
      <c r="AE930" s="341"/>
      <c r="AF930" s="341"/>
    </row>
    <row r="931" spans="1:32" ht="15">
      <c r="A931" s="341"/>
      <c r="B931" s="365"/>
      <c r="C931" s="365"/>
      <c r="D931" s="366"/>
      <c r="E931" s="366"/>
      <c r="F931" s="367"/>
      <c r="G931" s="367"/>
      <c r="H931" s="366"/>
      <c r="I931" s="366"/>
      <c r="J931" s="368"/>
      <c r="K931" s="368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1"/>
      <c r="Y931" s="341"/>
      <c r="Z931" s="341"/>
      <c r="AA931" s="341"/>
      <c r="AB931" s="341"/>
      <c r="AC931" s="341"/>
      <c r="AD931" s="341"/>
      <c r="AE931" s="341"/>
      <c r="AF931" s="341"/>
    </row>
    <row r="932" spans="1:32" ht="15">
      <c r="A932" s="341"/>
      <c r="B932" s="365"/>
      <c r="C932" s="365"/>
      <c r="D932" s="366"/>
      <c r="E932" s="366"/>
      <c r="F932" s="367"/>
      <c r="G932" s="367"/>
      <c r="H932" s="366"/>
      <c r="I932" s="366"/>
      <c r="J932" s="368"/>
      <c r="K932" s="368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1"/>
      <c r="Y932" s="341"/>
      <c r="Z932" s="341"/>
      <c r="AA932" s="341"/>
      <c r="AB932" s="341"/>
      <c r="AC932" s="341"/>
      <c r="AD932" s="341"/>
      <c r="AE932" s="341"/>
      <c r="AF932" s="341"/>
    </row>
    <row r="933" spans="1:32" ht="15">
      <c r="A933" s="341"/>
      <c r="B933" s="365"/>
      <c r="C933" s="365"/>
      <c r="D933" s="366"/>
      <c r="E933" s="366"/>
      <c r="F933" s="367"/>
      <c r="G933" s="367"/>
      <c r="H933" s="366"/>
      <c r="I933" s="366"/>
      <c r="J933" s="368"/>
      <c r="K933" s="368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1"/>
      <c r="Y933" s="341"/>
      <c r="Z933" s="341"/>
      <c r="AA933" s="341"/>
      <c r="AB933" s="341"/>
      <c r="AC933" s="341"/>
      <c r="AD933" s="341"/>
      <c r="AE933" s="341"/>
      <c r="AF933" s="341"/>
    </row>
    <row r="934" spans="1:32" ht="15">
      <c r="A934" s="341"/>
      <c r="B934" s="365"/>
      <c r="C934" s="365"/>
      <c r="D934" s="366"/>
      <c r="E934" s="366"/>
      <c r="F934" s="367"/>
      <c r="G934" s="367"/>
      <c r="H934" s="366"/>
      <c r="I934" s="366"/>
      <c r="J934" s="368"/>
      <c r="K934" s="368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1"/>
      <c r="Y934" s="341"/>
      <c r="Z934" s="341"/>
      <c r="AA934" s="341"/>
      <c r="AB934" s="341"/>
      <c r="AC934" s="341"/>
      <c r="AD934" s="341"/>
      <c r="AE934" s="341"/>
      <c r="AF934" s="341"/>
    </row>
    <row r="935" spans="1:32" ht="15">
      <c r="A935" s="341"/>
      <c r="B935" s="365"/>
      <c r="C935" s="365"/>
      <c r="D935" s="366"/>
      <c r="E935" s="366"/>
      <c r="F935" s="367"/>
      <c r="G935" s="367"/>
      <c r="H935" s="366"/>
      <c r="I935" s="366"/>
      <c r="J935" s="368"/>
      <c r="K935" s="368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1"/>
      <c r="Y935" s="341"/>
      <c r="Z935" s="341"/>
      <c r="AA935" s="341"/>
      <c r="AB935" s="341"/>
      <c r="AC935" s="341"/>
      <c r="AD935" s="341"/>
      <c r="AE935" s="341"/>
      <c r="AF935" s="341"/>
    </row>
    <row r="936" spans="1:32" ht="15">
      <c r="A936" s="341"/>
      <c r="B936" s="365"/>
      <c r="C936" s="365"/>
      <c r="D936" s="366"/>
      <c r="E936" s="366"/>
      <c r="F936" s="367"/>
      <c r="G936" s="367"/>
      <c r="H936" s="366"/>
      <c r="I936" s="366"/>
      <c r="J936" s="368"/>
      <c r="K936" s="368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1"/>
      <c r="Y936" s="341"/>
      <c r="Z936" s="341"/>
      <c r="AA936" s="341"/>
      <c r="AB936" s="341"/>
      <c r="AC936" s="341"/>
      <c r="AD936" s="341"/>
      <c r="AE936" s="341"/>
      <c r="AF936" s="341"/>
    </row>
    <row r="937" spans="1:32" ht="15">
      <c r="A937" s="341"/>
      <c r="B937" s="365"/>
      <c r="C937" s="365"/>
      <c r="D937" s="366"/>
      <c r="E937" s="366"/>
      <c r="F937" s="367"/>
      <c r="G937" s="367"/>
      <c r="H937" s="366"/>
      <c r="I937" s="366"/>
      <c r="J937" s="368"/>
      <c r="K937" s="368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1"/>
      <c r="Y937" s="341"/>
      <c r="Z937" s="341"/>
      <c r="AA937" s="341"/>
      <c r="AB937" s="341"/>
      <c r="AC937" s="341"/>
      <c r="AD937" s="341"/>
      <c r="AE937" s="341"/>
      <c r="AF937" s="341"/>
    </row>
    <row r="938" spans="1:32" ht="15">
      <c r="A938" s="341"/>
      <c r="B938" s="365"/>
      <c r="C938" s="365"/>
      <c r="D938" s="366"/>
      <c r="E938" s="366"/>
      <c r="F938" s="367"/>
      <c r="G938" s="367"/>
      <c r="H938" s="366"/>
      <c r="I938" s="366"/>
      <c r="J938" s="368"/>
      <c r="K938" s="368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1"/>
      <c r="Y938" s="341"/>
      <c r="Z938" s="341"/>
      <c r="AA938" s="341"/>
      <c r="AB938" s="341"/>
      <c r="AC938" s="341"/>
      <c r="AD938" s="341"/>
      <c r="AE938" s="341"/>
      <c r="AF938" s="341"/>
    </row>
    <row r="939" spans="1:32" ht="15">
      <c r="A939" s="341"/>
      <c r="B939" s="365"/>
      <c r="C939" s="365"/>
      <c r="D939" s="366"/>
      <c r="E939" s="366"/>
      <c r="F939" s="367"/>
      <c r="G939" s="367"/>
      <c r="H939" s="366"/>
      <c r="I939" s="366"/>
      <c r="J939" s="368"/>
      <c r="K939" s="368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1"/>
      <c r="Y939" s="341"/>
      <c r="Z939" s="341"/>
      <c r="AA939" s="341"/>
      <c r="AB939" s="341"/>
      <c r="AC939" s="341"/>
      <c r="AD939" s="341"/>
      <c r="AE939" s="341"/>
      <c r="AF939" s="341"/>
    </row>
    <row r="940" spans="1:32" ht="15">
      <c r="A940" s="341"/>
      <c r="B940" s="365"/>
      <c r="C940" s="365"/>
      <c r="D940" s="366"/>
      <c r="E940" s="366"/>
      <c r="F940" s="367"/>
      <c r="G940" s="367"/>
      <c r="H940" s="366"/>
      <c r="I940" s="366"/>
      <c r="J940" s="368"/>
      <c r="K940" s="368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1"/>
      <c r="Y940" s="341"/>
      <c r="Z940" s="341"/>
      <c r="AA940" s="341"/>
      <c r="AB940" s="341"/>
      <c r="AC940" s="341"/>
      <c r="AD940" s="341"/>
      <c r="AE940" s="341"/>
      <c r="AF940" s="341"/>
    </row>
    <row r="941" spans="1:32" ht="15">
      <c r="A941" s="341"/>
      <c r="B941" s="365"/>
      <c r="C941" s="365"/>
      <c r="D941" s="366"/>
      <c r="E941" s="366"/>
      <c r="F941" s="367"/>
      <c r="G941" s="367"/>
      <c r="H941" s="366"/>
      <c r="I941" s="366"/>
      <c r="J941" s="368"/>
      <c r="K941" s="368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1"/>
      <c r="Y941" s="341"/>
      <c r="Z941" s="341"/>
      <c r="AA941" s="341"/>
      <c r="AB941" s="341"/>
      <c r="AC941" s="341"/>
      <c r="AD941" s="341"/>
      <c r="AE941" s="341"/>
      <c r="AF941" s="341"/>
    </row>
    <row r="942" spans="1:32" ht="15">
      <c r="A942" s="341"/>
      <c r="B942" s="365"/>
      <c r="C942" s="365"/>
      <c r="D942" s="366"/>
      <c r="E942" s="366"/>
      <c r="F942" s="367"/>
      <c r="G942" s="367"/>
      <c r="H942" s="366"/>
      <c r="I942" s="366"/>
      <c r="J942" s="368"/>
      <c r="K942" s="368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1"/>
      <c r="Y942" s="341"/>
      <c r="Z942" s="341"/>
      <c r="AA942" s="341"/>
      <c r="AB942" s="341"/>
      <c r="AC942" s="341"/>
      <c r="AD942" s="341"/>
      <c r="AE942" s="341"/>
      <c r="AF942" s="341"/>
    </row>
    <row r="943" spans="1:32" ht="15">
      <c r="A943" s="341"/>
      <c r="B943" s="365"/>
      <c r="C943" s="365"/>
      <c r="D943" s="366"/>
      <c r="E943" s="366"/>
      <c r="F943" s="367"/>
      <c r="G943" s="367"/>
      <c r="H943" s="366"/>
      <c r="I943" s="366"/>
      <c r="J943" s="368"/>
      <c r="K943" s="368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1"/>
      <c r="Y943" s="341"/>
      <c r="Z943" s="341"/>
      <c r="AA943" s="341"/>
      <c r="AB943" s="341"/>
      <c r="AC943" s="341"/>
      <c r="AD943" s="341"/>
      <c r="AE943" s="341"/>
      <c r="AF943" s="341"/>
    </row>
    <row r="944" spans="1:32" ht="15">
      <c r="A944" s="341"/>
      <c r="B944" s="365"/>
      <c r="C944" s="365"/>
      <c r="D944" s="366"/>
      <c r="E944" s="366"/>
      <c r="F944" s="367"/>
      <c r="G944" s="367"/>
      <c r="H944" s="366"/>
      <c r="I944" s="366"/>
      <c r="J944" s="368"/>
      <c r="K944" s="368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1"/>
      <c r="Y944" s="341"/>
      <c r="Z944" s="341"/>
      <c r="AA944" s="341"/>
      <c r="AB944" s="341"/>
      <c r="AC944" s="341"/>
      <c r="AD944" s="341"/>
      <c r="AE944" s="341"/>
      <c r="AF944" s="341"/>
    </row>
    <row r="945" spans="1:32" ht="15">
      <c r="A945" s="341"/>
      <c r="B945" s="365"/>
      <c r="C945" s="365"/>
      <c r="D945" s="366"/>
      <c r="E945" s="366"/>
      <c r="F945" s="367"/>
      <c r="G945" s="367"/>
      <c r="H945" s="366"/>
      <c r="I945" s="366"/>
      <c r="J945" s="368"/>
      <c r="K945" s="368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1"/>
      <c r="Y945" s="341"/>
      <c r="Z945" s="341"/>
      <c r="AA945" s="341"/>
      <c r="AB945" s="341"/>
      <c r="AC945" s="341"/>
      <c r="AD945" s="341"/>
      <c r="AE945" s="341"/>
      <c r="AF945" s="341"/>
    </row>
    <row r="946" spans="1:32" ht="15">
      <c r="A946" s="341"/>
      <c r="B946" s="365"/>
      <c r="C946" s="365"/>
      <c r="D946" s="366"/>
      <c r="E946" s="366"/>
      <c r="F946" s="367"/>
      <c r="G946" s="367"/>
      <c r="H946" s="366"/>
      <c r="I946" s="366"/>
      <c r="J946" s="368"/>
      <c r="K946" s="368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1"/>
      <c r="Y946" s="341"/>
      <c r="Z946" s="341"/>
      <c r="AA946" s="341"/>
      <c r="AB946" s="341"/>
      <c r="AC946" s="341"/>
      <c r="AD946" s="341"/>
      <c r="AE946" s="341"/>
      <c r="AF946" s="341"/>
    </row>
    <row r="947" spans="1:32" ht="15">
      <c r="A947" s="341"/>
      <c r="B947" s="365"/>
      <c r="C947" s="365"/>
      <c r="D947" s="366"/>
      <c r="E947" s="366"/>
      <c r="F947" s="367"/>
      <c r="G947" s="367"/>
      <c r="H947" s="366"/>
      <c r="I947" s="366"/>
      <c r="J947" s="368"/>
      <c r="K947" s="368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1"/>
      <c r="Y947" s="341"/>
      <c r="Z947" s="341"/>
      <c r="AA947" s="341"/>
      <c r="AB947" s="341"/>
      <c r="AC947" s="341"/>
      <c r="AD947" s="341"/>
      <c r="AE947" s="341"/>
      <c r="AF947" s="341"/>
    </row>
    <row r="948" spans="1:32" ht="15">
      <c r="A948" s="341"/>
      <c r="B948" s="365"/>
      <c r="C948" s="365"/>
      <c r="D948" s="366"/>
      <c r="E948" s="366"/>
      <c r="F948" s="367"/>
      <c r="G948" s="367"/>
      <c r="H948" s="366"/>
      <c r="I948" s="366"/>
      <c r="J948" s="368"/>
      <c r="K948" s="368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1"/>
      <c r="Y948" s="341"/>
      <c r="Z948" s="341"/>
      <c r="AA948" s="341"/>
      <c r="AB948" s="341"/>
      <c r="AC948" s="341"/>
      <c r="AD948" s="341"/>
      <c r="AE948" s="341"/>
      <c r="AF948" s="341"/>
    </row>
    <row r="949" spans="1:32" ht="15">
      <c r="A949" s="341"/>
      <c r="B949" s="365"/>
      <c r="C949" s="365"/>
      <c r="D949" s="366"/>
      <c r="E949" s="366"/>
      <c r="F949" s="367"/>
      <c r="G949" s="367"/>
      <c r="H949" s="366"/>
      <c r="I949" s="366"/>
      <c r="J949" s="368"/>
      <c r="K949" s="368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1"/>
      <c r="Y949" s="341"/>
      <c r="Z949" s="341"/>
      <c r="AA949" s="341"/>
      <c r="AB949" s="341"/>
      <c r="AC949" s="341"/>
      <c r="AD949" s="341"/>
      <c r="AE949" s="341"/>
      <c r="AF949" s="341"/>
    </row>
    <row r="950" spans="1:32" ht="15">
      <c r="A950" s="341"/>
      <c r="B950" s="365"/>
      <c r="C950" s="365"/>
      <c r="D950" s="366"/>
      <c r="E950" s="366"/>
      <c r="F950" s="367"/>
      <c r="G950" s="367"/>
      <c r="H950" s="366"/>
      <c r="I950" s="366"/>
      <c r="J950" s="368"/>
      <c r="K950" s="368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1"/>
      <c r="Y950" s="341"/>
      <c r="Z950" s="341"/>
      <c r="AA950" s="341"/>
      <c r="AB950" s="341"/>
      <c r="AC950" s="341"/>
      <c r="AD950" s="341"/>
      <c r="AE950" s="341"/>
      <c r="AF950" s="341"/>
    </row>
    <row r="951" spans="1:32" ht="15">
      <c r="A951" s="341"/>
      <c r="B951" s="365"/>
      <c r="C951" s="365"/>
      <c r="D951" s="366"/>
      <c r="E951" s="366"/>
      <c r="F951" s="367"/>
      <c r="G951" s="367"/>
      <c r="H951" s="366"/>
      <c r="I951" s="366"/>
      <c r="J951" s="368"/>
      <c r="K951" s="368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1"/>
      <c r="Y951" s="341"/>
      <c r="Z951" s="341"/>
      <c r="AA951" s="341"/>
      <c r="AB951" s="341"/>
      <c r="AC951" s="341"/>
      <c r="AD951" s="341"/>
      <c r="AE951" s="341"/>
      <c r="AF951" s="341"/>
    </row>
    <row r="952" spans="1:32" ht="15">
      <c r="A952" s="341"/>
      <c r="B952" s="365"/>
      <c r="C952" s="365"/>
      <c r="D952" s="366"/>
      <c r="E952" s="366"/>
      <c r="F952" s="367"/>
      <c r="G952" s="367"/>
      <c r="H952" s="366"/>
      <c r="I952" s="366"/>
      <c r="J952" s="368"/>
      <c r="K952" s="368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1"/>
      <c r="Y952" s="341"/>
      <c r="Z952" s="341"/>
      <c r="AA952" s="341"/>
      <c r="AB952" s="341"/>
      <c r="AC952" s="341"/>
      <c r="AD952" s="341"/>
      <c r="AE952" s="341"/>
      <c r="AF952" s="341"/>
    </row>
    <row r="953" spans="1:32" ht="15">
      <c r="A953" s="341"/>
      <c r="B953" s="365"/>
      <c r="C953" s="365"/>
      <c r="D953" s="366"/>
      <c r="E953" s="366"/>
      <c r="F953" s="367"/>
      <c r="G953" s="367"/>
      <c r="H953" s="366"/>
      <c r="I953" s="366"/>
      <c r="J953" s="368"/>
      <c r="K953" s="368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1"/>
      <c r="Y953" s="341"/>
      <c r="Z953" s="341"/>
      <c r="AA953" s="341"/>
      <c r="AB953" s="341"/>
      <c r="AC953" s="341"/>
      <c r="AD953" s="341"/>
      <c r="AE953" s="341"/>
      <c r="AF953" s="341"/>
    </row>
    <row r="954" spans="1:32" ht="15">
      <c r="A954" s="341"/>
      <c r="B954" s="365"/>
      <c r="C954" s="365"/>
      <c r="D954" s="366"/>
      <c r="E954" s="366"/>
      <c r="F954" s="367"/>
      <c r="G954" s="367"/>
      <c r="H954" s="366"/>
      <c r="I954" s="366"/>
      <c r="J954" s="368"/>
      <c r="K954" s="368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1"/>
      <c r="Y954" s="341"/>
      <c r="Z954" s="341"/>
      <c r="AA954" s="341"/>
      <c r="AB954" s="341"/>
      <c r="AC954" s="341"/>
      <c r="AD954" s="341"/>
      <c r="AE954" s="341"/>
      <c r="AF954" s="341"/>
    </row>
    <row r="955" spans="1:32" ht="15">
      <c r="A955" s="341"/>
      <c r="B955" s="365"/>
      <c r="C955" s="365"/>
      <c r="D955" s="366"/>
      <c r="E955" s="366"/>
      <c r="F955" s="367"/>
      <c r="G955" s="367"/>
      <c r="H955" s="366"/>
      <c r="I955" s="366"/>
      <c r="J955" s="368"/>
      <c r="K955" s="368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1"/>
      <c r="Y955" s="341"/>
      <c r="Z955" s="341"/>
      <c r="AA955" s="341"/>
      <c r="AB955" s="341"/>
      <c r="AC955" s="341"/>
      <c r="AD955" s="341"/>
      <c r="AE955" s="341"/>
      <c r="AF955" s="341"/>
    </row>
    <row r="956" spans="1:32" ht="15">
      <c r="A956" s="341"/>
      <c r="B956" s="365"/>
      <c r="C956" s="365"/>
      <c r="D956" s="366"/>
      <c r="E956" s="366"/>
      <c r="F956" s="367"/>
      <c r="G956" s="367"/>
      <c r="H956" s="366"/>
      <c r="I956" s="366"/>
      <c r="J956" s="368"/>
      <c r="K956" s="368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1"/>
      <c r="Y956" s="341"/>
      <c r="Z956" s="341"/>
      <c r="AA956" s="341"/>
      <c r="AB956" s="341"/>
      <c r="AC956" s="341"/>
      <c r="AD956" s="341"/>
      <c r="AE956" s="341"/>
      <c r="AF956" s="341"/>
    </row>
    <row r="957" spans="1:32" ht="15">
      <c r="A957" s="341"/>
      <c r="B957" s="365"/>
      <c r="C957" s="365"/>
      <c r="D957" s="366"/>
      <c r="E957" s="366"/>
      <c r="F957" s="367"/>
      <c r="G957" s="367"/>
      <c r="H957" s="366"/>
      <c r="I957" s="366"/>
      <c r="J957" s="368"/>
      <c r="K957" s="368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1"/>
      <c r="Y957" s="341"/>
      <c r="Z957" s="341"/>
      <c r="AA957" s="341"/>
      <c r="AB957" s="341"/>
      <c r="AC957" s="341"/>
      <c r="AD957" s="341"/>
      <c r="AE957" s="341"/>
      <c r="AF957" s="341"/>
    </row>
    <row r="958" spans="1:32" ht="15">
      <c r="A958" s="341"/>
      <c r="B958" s="365"/>
      <c r="C958" s="365"/>
      <c r="D958" s="366"/>
      <c r="E958" s="366"/>
      <c r="F958" s="367"/>
      <c r="G958" s="367"/>
      <c r="H958" s="366"/>
      <c r="I958" s="366"/>
      <c r="J958" s="368"/>
      <c r="K958" s="368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1"/>
      <c r="Y958" s="341"/>
      <c r="Z958" s="341"/>
      <c r="AA958" s="341"/>
      <c r="AB958" s="341"/>
      <c r="AC958" s="341"/>
      <c r="AD958" s="341"/>
      <c r="AE958" s="341"/>
      <c r="AF958" s="341"/>
    </row>
    <row r="959" spans="1:32" ht="15">
      <c r="A959" s="341"/>
      <c r="B959" s="365"/>
      <c r="C959" s="365"/>
      <c r="D959" s="366"/>
      <c r="E959" s="366"/>
      <c r="F959" s="367"/>
      <c r="G959" s="367"/>
      <c r="H959" s="366"/>
      <c r="I959" s="366"/>
      <c r="J959" s="368"/>
      <c r="K959" s="368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1"/>
      <c r="Y959" s="341"/>
      <c r="Z959" s="341"/>
      <c r="AA959" s="341"/>
      <c r="AB959" s="341"/>
      <c r="AC959" s="341"/>
      <c r="AD959" s="341"/>
      <c r="AE959" s="341"/>
      <c r="AF959" s="341"/>
    </row>
    <row r="960" spans="1:32" ht="15">
      <c r="A960" s="341"/>
      <c r="B960" s="365"/>
      <c r="C960" s="365"/>
      <c r="D960" s="366"/>
      <c r="E960" s="366"/>
      <c r="F960" s="367"/>
      <c r="G960" s="367"/>
      <c r="H960" s="366"/>
      <c r="I960" s="366"/>
      <c r="J960" s="368"/>
      <c r="K960" s="368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1"/>
      <c r="Y960" s="341"/>
      <c r="Z960" s="341"/>
      <c r="AA960" s="341"/>
      <c r="AB960" s="341"/>
      <c r="AC960" s="341"/>
      <c r="AD960" s="341"/>
      <c r="AE960" s="341"/>
      <c r="AF960" s="341"/>
    </row>
    <row r="961" spans="1:32" ht="15">
      <c r="A961" s="341"/>
      <c r="B961" s="365"/>
      <c r="C961" s="365"/>
      <c r="D961" s="366"/>
      <c r="E961" s="366"/>
      <c r="F961" s="367"/>
      <c r="G961" s="367"/>
      <c r="H961" s="366"/>
      <c r="I961" s="366"/>
      <c r="J961" s="368"/>
      <c r="K961" s="368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1"/>
      <c r="Y961" s="341"/>
      <c r="Z961" s="341"/>
      <c r="AA961" s="341"/>
      <c r="AB961" s="341"/>
      <c r="AC961" s="341"/>
      <c r="AD961" s="341"/>
      <c r="AE961" s="341"/>
      <c r="AF961" s="341"/>
    </row>
    <row r="962" spans="1:32" ht="15">
      <c r="A962" s="341"/>
      <c r="B962" s="365"/>
      <c r="C962" s="365"/>
      <c r="D962" s="366"/>
      <c r="E962" s="366"/>
      <c r="F962" s="367"/>
      <c r="G962" s="367"/>
      <c r="H962" s="366"/>
      <c r="I962" s="366"/>
      <c r="J962" s="368"/>
      <c r="K962" s="368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1"/>
      <c r="Y962" s="341"/>
      <c r="Z962" s="341"/>
      <c r="AA962" s="341"/>
      <c r="AB962" s="341"/>
      <c r="AC962" s="341"/>
      <c r="AD962" s="341"/>
      <c r="AE962" s="341"/>
      <c r="AF962" s="341"/>
    </row>
    <row r="963" spans="1:32" ht="15">
      <c r="A963" s="341"/>
      <c r="B963" s="365"/>
      <c r="C963" s="365"/>
      <c r="D963" s="366"/>
      <c r="E963" s="366"/>
      <c r="F963" s="367"/>
      <c r="G963" s="367"/>
      <c r="H963" s="366"/>
      <c r="I963" s="366"/>
      <c r="J963" s="368"/>
      <c r="K963" s="368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1"/>
      <c r="Y963" s="341"/>
      <c r="Z963" s="341"/>
      <c r="AA963" s="341"/>
      <c r="AB963" s="341"/>
      <c r="AC963" s="341"/>
      <c r="AD963" s="341"/>
      <c r="AE963" s="341"/>
      <c r="AF963" s="341"/>
    </row>
    <row r="964" spans="1:32" ht="15">
      <c r="A964" s="341"/>
      <c r="B964" s="365"/>
      <c r="C964" s="365"/>
      <c r="D964" s="366"/>
      <c r="E964" s="366"/>
      <c r="F964" s="367"/>
      <c r="G964" s="367"/>
      <c r="H964" s="366"/>
      <c r="I964" s="366"/>
      <c r="J964" s="368"/>
      <c r="K964" s="368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1"/>
      <c r="Y964" s="341"/>
      <c r="Z964" s="341"/>
      <c r="AA964" s="341"/>
      <c r="AB964" s="341"/>
      <c r="AC964" s="341"/>
      <c r="AD964" s="341"/>
      <c r="AE964" s="341"/>
      <c r="AF964" s="341"/>
    </row>
    <row r="965" spans="1:32" ht="15">
      <c r="A965" s="341"/>
      <c r="B965" s="365"/>
      <c r="C965" s="365"/>
      <c r="D965" s="366"/>
      <c r="E965" s="366"/>
      <c r="F965" s="367"/>
      <c r="G965" s="367"/>
      <c r="H965" s="366"/>
      <c r="I965" s="366"/>
      <c r="J965" s="368"/>
      <c r="K965" s="368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1"/>
      <c r="Y965" s="341"/>
      <c r="Z965" s="341"/>
      <c r="AA965" s="341"/>
      <c r="AB965" s="341"/>
      <c r="AC965" s="341"/>
      <c r="AD965" s="341"/>
      <c r="AE965" s="341"/>
      <c r="AF965" s="341"/>
    </row>
    <row r="966" spans="1:32" ht="15">
      <c r="A966" s="341"/>
      <c r="B966" s="365"/>
      <c r="C966" s="365"/>
      <c r="D966" s="366"/>
      <c r="E966" s="366"/>
      <c r="F966" s="367"/>
      <c r="G966" s="367"/>
      <c r="H966" s="366"/>
      <c r="I966" s="366"/>
      <c r="J966" s="368"/>
      <c r="K966" s="368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1"/>
      <c r="Y966" s="341"/>
      <c r="Z966" s="341"/>
      <c r="AA966" s="341"/>
      <c r="AB966" s="341"/>
      <c r="AC966" s="341"/>
      <c r="AD966" s="341"/>
      <c r="AE966" s="341"/>
      <c r="AF966" s="341"/>
    </row>
    <row r="967" spans="1:32" ht="15">
      <c r="A967" s="341"/>
      <c r="B967" s="365"/>
      <c r="C967" s="365"/>
      <c r="D967" s="366"/>
      <c r="E967" s="366"/>
      <c r="F967" s="367"/>
      <c r="G967" s="367"/>
      <c r="H967" s="366"/>
      <c r="I967" s="366"/>
      <c r="J967" s="368"/>
      <c r="K967" s="368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1"/>
      <c r="Y967" s="341"/>
      <c r="Z967" s="341"/>
      <c r="AA967" s="341"/>
      <c r="AB967" s="341"/>
      <c r="AC967" s="341"/>
      <c r="AD967" s="341"/>
      <c r="AE967" s="341"/>
      <c r="AF967" s="341"/>
    </row>
    <row r="968" spans="1:32" ht="15">
      <c r="A968" s="341"/>
      <c r="B968" s="365"/>
      <c r="C968" s="365"/>
      <c r="D968" s="366"/>
      <c r="E968" s="366"/>
      <c r="F968" s="367"/>
      <c r="G968" s="367"/>
      <c r="H968" s="366"/>
      <c r="I968" s="366"/>
      <c r="J968" s="368"/>
      <c r="K968" s="368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1"/>
      <c r="Y968" s="341"/>
      <c r="Z968" s="341"/>
      <c r="AA968" s="341"/>
      <c r="AB968" s="341"/>
      <c r="AC968" s="341"/>
      <c r="AD968" s="341"/>
      <c r="AE968" s="341"/>
      <c r="AF968" s="341"/>
    </row>
    <row r="969" spans="1:32" ht="15">
      <c r="A969" s="341"/>
      <c r="B969" s="365"/>
      <c r="C969" s="365"/>
      <c r="D969" s="366"/>
      <c r="E969" s="366"/>
      <c r="F969" s="367"/>
      <c r="G969" s="367"/>
      <c r="H969" s="366"/>
      <c r="I969" s="366"/>
      <c r="J969" s="368"/>
      <c r="K969" s="368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1"/>
      <c r="Y969" s="341"/>
      <c r="Z969" s="341"/>
      <c r="AA969" s="341"/>
      <c r="AB969" s="341"/>
      <c r="AC969" s="341"/>
      <c r="AD969" s="341"/>
      <c r="AE969" s="341"/>
      <c r="AF969" s="341"/>
    </row>
    <row r="970" spans="1:32" ht="15">
      <c r="A970" s="341"/>
      <c r="B970" s="365"/>
      <c r="C970" s="365"/>
      <c r="D970" s="366"/>
      <c r="E970" s="366"/>
      <c r="F970" s="367"/>
      <c r="G970" s="367"/>
      <c r="H970" s="366"/>
      <c r="I970" s="366"/>
      <c r="J970" s="368"/>
      <c r="K970" s="368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1"/>
      <c r="Y970" s="341"/>
      <c r="Z970" s="341"/>
      <c r="AA970" s="341"/>
      <c r="AB970" s="341"/>
      <c r="AC970" s="341"/>
      <c r="AD970" s="341"/>
      <c r="AE970" s="341"/>
      <c r="AF970" s="341"/>
    </row>
    <row r="971" spans="1:32" ht="15">
      <c r="A971" s="341"/>
      <c r="B971" s="365"/>
      <c r="C971" s="365"/>
      <c r="D971" s="366"/>
      <c r="E971" s="366"/>
      <c r="F971" s="367"/>
      <c r="G971" s="367"/>
      <c r="H971" s="366"/>
      <c r="I971" s="366"/>
      <c r="J971" s="368"/>
      <c r="K971" s="368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1"/>
      <c r="Y971" s="341"/>
      <c r="Z971" s="341"/>
      <c r="AA971" s="341"/>
      <c r="AB971" s="341"/>
      <c r="AC971" s="341"/>
      <c r="AD971" s="341"/>
      <c r="AE971" s="341"/>
      <c r="AF971" s="341"/>
    </row>
    <row r="972" spans="1:32" ht="15">
      <c r="A972" s="341"/>
      <c r="B972" s="365"/>
      <c r="C972" s="365"/>
      <c r="D972" s="366"/>
      <c r="E972" s="366"/>
      <c r="F972" s="367"/>
      <c r="G972" s="367"/>
      <c r="H972" s="366"/>
      <c r="I972" s="366"/>
      <c r="J972" s="368"/>
      <c r="K972" s="368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1"/>
      <c r="Y972" s="341"/>
      <c r="Z972" s="341"/>
      <c r="AA972" s="341"/>
      <c r="AB972" s="341"/>
      <c r="AC972" s="341"/>
      <c r="AD972" s="341"/>
      <c r="AE972" s="341"/>
      <c r="AF972" s="341"/>
    </row>
    <row r="973" spans="1:32" ht="15">
      <c r="A973" s="341"/>
      <c r="B973" s="365"/>
      <c r="C973" s="365"/>
      <c r="D973" s="366"/>
      <c r="E973" s="366"/>
      <c r="F973" s="367"/>
      <c r="G973" s="367"/>
      <c r="H973" s="366"/>
      <c r="I973" s="366"/>
      <c r="J973" s="368"/>
      <c r="K973" s="368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1"/>
      <c r="Y973" s="341"/>
      <c r="Z973" s="341"/>
      <c r="AA973" s="341"/>
      <c r="AB973" s="341"/>
      <c r="AC973" s="341"/>
      <c r="AD973" s="341"/>
      <c r="AE973" s="341"/>
      <c r="AF973" s="341"/>
    </row>
    <row r="974" spans="1:32" ht="15">
      <c r="A974" s="341"/>
      <c r="B974" s="365"/>
      <c r="C974" s="365"/>
      <c r="D974" s="366"/>
      <c r="E974" s="366"/>
      <c r="F974" s="367"/>
      <c r="G974" s="367"/>
      <c r="H974" s="366"/>
      <c r="I974" s="366"/>
      <c r="J974" s="368"/>
      <c r="K974" s="368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1"/>
      <c r="Y974" s="341"/>
      <c r="Z974" s="341"/>
      <c r="AA974" s="341"/>
      <c r="AB974" s="341"/>
      <c r="AC974" s="341"/>
      <c r="AD974" s="341"/>
      <c r="AE974" s="341"/>
      <c r="AF974" s="341"/>
    </row>
    <row r="975" spans="1:32" ht="15">
      <c r="A975" s="341"/>
      <c r="B975" s="365"/>
      <c r="C975" s="365"/>
      <c r="D975" s="366"/>
      <c r="E975" s="366"/>
      <c r="F975" s="367"/>
      <c r="G975" s="367"/>
      <c r="H975" s="366"/>
      <c r="I975" s="366"/>
      <c r="J975" s="368"/>
      <c r="K975" s="368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1"/>
      <c r="Y975" s="341"/>
      <c r="Z975" s="341"/>
      <c r="AA975" s="341"/>
      <c r="AB975" s="341"/>
      <c r="AC975" s="341"/>
      <c r="AD975" s="341"/>
      <c r="AE975" s="341"/>
      <c r="AF975" s="341"/>
    </row>
    <row r="976" spans="1:32" ht="15">
      <c r="A976" s="341"/>
      <c r="B976" s="365"/>
      <c r="C976" s="365"/>
      <c r="D976" s="366"/>
      <c r="E976" s="366"/>
      <c r="F976" s="367"/>
      <c r="G976" s="367"/>
      <c r="H976" s="366"/>
      <c r="I976" s="366"/>
      <c r="J976" s="368"/>
      <c r="K976" s="368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1"/>
      <c r="Y976" s="341"/>
      <c r="Z976" s="341"/>
      <c r="AA976" s="341"/>
      <c r="AB976" s="341"/>
      <c r="AC976" s="341"/>
      <c r="AD976" s="341"/>
      <c r="AE976" s="341"/>
      <c r="AF976" s="341"/>
    </row>
    <row r="977" spans="1:32" ht="15">
      <c r="A977" s="341"/>
      <c r="B977" s="365"/>
      <c r="C977" s="365"/>
      <c r="D977" s="366"/>
      <c r="E977" s="366"/>
      <c r="F977" s="367"/>
      <c r="G977" s="367"/>
      <c r="H977" s="366"/>
      <c r="I977" s="366"/>
      <c r="J977" s="368"/>
      <c r="K977" s="368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1"/>
      <c r="Y977" s="341"/>
      <c r="Z977" s="341"/>
      <c r="AA977" s="341"/>
      <c r="AB977" s="341"/>
      <c r="AC977" s="341"/>
      <c r="AD977" s="341"/>
      <c r="AE977" s="341"/>
      <c r="AF977" s="341"/>
    </row>
    <row r="978" spans="1:32" ht="15">
      <c r="A978" s="341"/>
      <c r="B978" s="365"/>
      <c r="C978" s="365"/>
      <c r="D978" s="366"/>
      <c r="E978" s="366"/>
      <c r="F978" s="367"/>
      <c r="G978" s="367"/>
      <c r="H978" s="366"/>
      <c r="I978" s="366"/>
      <c r="J978" s="368"/>
      <c r="K978" s="368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1"/>
      <c r="Y978" s="341"/>
      <c r="Z978" s="341"/>
      <c r="AA978" s="341"/>
      <c r="AB978" s="341"/>
      <c r="AC978" s="341"/>
      <c r="AD978" s="341"/>
      <c r="AE978" s="341"/>
      <c r="AF978" s="341"/>
    </row>
    <row r="979" spans="1:32" ht="15">
      <c r="A979" s="341"/>
      <c r="B979" s="365"/>
      <c r="C979" s="365"/>
      <c r="D979" s="366"/>
      <c r="E979" s="366"/>
      <c r="F979" s="367"/>
      <c r="G979" s="367"/>
      <c r="H979" s="366"/>
      <c r="I979" s="366"/>
      <c r="J979" s="368"/>
      <c r="K979" s="368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1"/>
      <c r="Y979" s="341"/>
      <c r="Z979" s="341"/>
      <c r="AA979" s="341"/>
      <c r="AB979" s="341"/>
      <c r="AC979" s="341"/>
      <c r="AD979" s="341"/>
      <c r="AE979" s="341"/>
      <c r="AF979" s="341"/>
    </row>
    <row r="980" spans="1:32" ht="15">
      <c r="A980" s="341"/>
      <c r="B980" s="365"/>
      <c r="C980" s="365"/>
      <c r="D980" s="366"/>
      <c r="E980" s="366"/>
      <c r="F980" s="367"/>
      <c r="G980" s="367"/>
      <c r="H980" s="366"/>
      <c r="I980" s="366"/>
      <c r="J980" s="368"/>
      <c r="K980" s="368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1"/>
      <c r="Y980" s="341"/>
      <c r="Z980" s="341"/>
      <c r="AA980" s="341"/>
      <c r="AB980" s="341"/>
      <c r="AC980" s="341"/>
      <c r="AD980" s="341"/>
      <c r="AE980" s="341"/>
      <c r="AF980" s="341"/>
    </row>
    <row r="981" spans="1:32" ht="15">
      <c r="A981" s="341"/>
      <c r="B981" s="365"/>
      <c r="C981" s="365"/>
      <c r="D981" s="366"/>
      <c r="E981" s="366"/>
      <c r="F981" s="367"/>
      <c r="G981" s="367"/>
      <c r="H981" s="366"/>
      <c r="I981" s="366"/>
      <c r="J981" s="368"/>
      <c r="K981" s="368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1"/>
      <c r="Y981" s="341"/>
      <c r="Z981" s="341"/>
      <c r="AA981" s="341"/>
      <c r="AB981" s="341"/>
      <c r="AC981" s="341"/>
      <c r="AD981" s="341"/>
      <c r="AE981" s="341"/>
      <c r="AF981" s="341"/>
    </row>
    <row r="982" spans="1:32" ht="15">
      <c r="A982" s="341"/>
      <c r="B982" s="365"/>
      <c r="C982" s="365"/>
      <c r="D982" s="366"/>
      <c r="E982" s="366"/>
      <c r="F982" s="367"/>
      <c r="G982" s="367"/>
      <c r="H982" s="366"/>
      <c r="I982" s="366"/>
      <c r="J982" s="368"/>
      <c r="K982" s="368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1"/>
      <c r="Y982" s="341"/>
      <c r="Z982" s="341"/>
      <c r="AA982" s="341"/>
      <c r="AB982" s="341"/>
      <c r="AC982" s="341"/>
      <c r="AD982" s="341"/>
      <c r="AE982" s="341"/>
      <c r="AF982" s="341"/>
    </row>
    <row r="983" spans="1:32" ht="15">
      <c r="A983" s="341"/>
      <c r="B983" s="365"/>
      <c r="C983" s="365"/>
      <c r="D983" s="366"/>
      <c r="E983" s="366"/>
      <c r="F983" s="367"/>
      <c r="G983" s="367"/>
      <c r="H983" s="366"/>
      <c r="I983" s="366"/>
      <c r="J983" s="368"/>
      <c r="K983" s="368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1"/>
      <c r="Y983" s="341"/>
      <c r="Z983" s="341"/>
      <c r="AA983" s="341"/>
      <c r="AB983" s="341"/>
      <c r="AC983" s="341"/>
      <c r="AD983" s="341"/>
      <c r="AE983" s="341"/>
      <c r="AF983" s="341"/>
    </row>
    <row r="984" spans="1:32" ht="15">
      <c r="A984" s="341"/>
      <c r="B984" s="365"/>
      <c r="C984" s="365"/>
      <c r="D984" s="366"/>
      <c r="E984" s="366"/>
      <c r="F984" s="367"/>
      <c r="G984" s="367"/>
      <c r="H984" s="366"/>
      <c r="I984" s="366"/>
      <c r="J984" s="368"/>
      <c r="K984" s="368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1"/>
      <c r="Y984" s="341"/>
      <c r="Z984" s="341"/>
      <c r="AA984" s="341"/>
      <c r="AB984" s="341"/>
      <c r="AC984" s="341"/>
      <c r="AD984" s="341"/>
      <c r="AE984" s="341"/>
      <c r="AF984" s="341"/>
    </row>
    <row r="985" spans="1:32" ht="15">
      <c r="A985" s="341"/>
      <c r="B985" s="365"/>
      <c r="C985" s="365"/>
      <c r="D985" s="366"/>
      <c r="E985" s="366"/>
      <c r="F985" s="367"/>
      <c r="G985" s="367"/>
      <c r="H985" s="366"/>
      <c r="I985" s="366"/>
      <c r="J985" s="368"/>
      <c r="K985" s="368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1"/>
      <c r="Y985" s="341"/>
      <c r="Z985" s="341"/>
      <c r="AA985" s="341"/>
      <c r="AB985" s="341"/>
      <c r="AC985" s="341"/>
      <c r="AD985" s="341"/>
      <c r="AE985" s="341"/>
      <c r="AF985" s="341"/>
    </row>
    <row r="986" spans="1:32" ht="15">
      <c r="A986" s="341"/>
      <c r="B986" s="365"/>
      <c r="C986" s="365"/>
      <c r="D986" s="366"/>
      <c r="E986" s="366"/>
      <c r="F986" s="367"/>
      <c r="G986" s="367"/>
      <c r="H986" s="366"/>
      <c r="I986" s="366"/>
      <c r="J986" s="368"/>
      <c r="K986" s="368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1"/>
      <c r="Y986" s="341"/>
      <c r="Z986" s="341"/>
      <c r="AA986" s="341"/>
      <c r="AB986" s="341"/>
      <c r="AC986" s="341"/>
      <c r="AD986" s="341"/>
      <c r="AE986" s="341"/>
      <c r="AF986" s="341"/>
    </row>
    <row r="987" spans="1:32" ht="15">
      <c r="A987" s="341"/>
      <c r="B987" s="365"/>
      <c r="C987" s="365"/>
      <c r="D987" s="366"/>
      <c r="E987" s="366"/>
      <c r="F987" s="367"/>
      <c r="G987" s="367"/>
      <c r="H987" s="366"/>
      <c r="I987" s="366"/>
      <c r="J987" s="368"/>
      <c r="K987" s="368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1"/>
      <c r="Y987" s="341"/>
      <c r="Z987" s="341"/>
      <c r="AA987" s="341"/>
      <c r="AB987" s="341"/>
      <c r="AC987" s="341"/>
      <c r="AD987" s="341"/>
      <c r="AE987" s="341"/>
      <c r="AF987" s="341"/>
    </row>
    <row r="988" spans="1:32" ht="15">
      <c r="A988" s="341"/>
      <c r="B988" s="365"/>
      <c r="C988" s="365"/>
      <c r="D988" s="366"/>
      <c r="E988" s="366"/>
      <c r="F988" s="367"/>
      <c r="G988" s="367"/>
      <c r="H988" s="366"/>
      <c r="I988" s="366"/>
      <c r="J988" s="368"/>
      <c r="K988" s="368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1"/>
      <c r="Y988" s="341"/>
      <c r="Z988" s="341"/>
      <c r="AA988" s="341"/>
      <c r="AB988" s="341"/>
      <c r="AC988" s="341"/>
      <c r="AD988" s="341"/>
      <c r="AE988" s="341"/>
      <c r="AF988" s="341"/>
    </row>
    <row r="989" spans="1:32" ht="15">
      <c r="A989" s="341"/>
      <c r="B989" s="365"/>
      <c r="C989" s="365"/>
      <c r="D989" s="366"/>
      <c r="E989" s="366"/>
      <c r="F989" s="367"/>
      <c r="G989" s="367"/>
      <c r="H989" s="366"/>
      <c r="I989" s="366"/>
      <c r="J989" s="368"/>
      <c r="K989" s="368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1"/>
      <c r="Y989" s="341"/>
      <c r="Z989" s="341"/>
      <c r="AA989" s="341"/>
      <c r="AB989" s="341"/>
      <c r="AC989" s="341"/>
      <c r="AD989" s="341"/>
      <c r="AE989" s="341"/>
      <c r="AF989" s="341"/>
    </row>
    <row r="990" spans="1:32" ht="15">
      <c r="A990" s="341"/>
      <c r="B990" s="365"/>
      <c r="C990" s="365"/>
      <c r="D990" s="366"/>
      <c r="E990" s="366"/>
      <c r="F990" s="367"/>
      <c r="G990" s="367"/>
      <c r="H990" s="366"/>
      <c r="I990" s="366"/>
      <c r="J990" s="368"/>
      <c r="K990" s="368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1"/>
      <c r="Y990" s="341"/>
      <c r="Z990" s="341"/>
      <c r="AA990" s="341"/>
      <c r="AB990" s="341"/>
      <c r="AC990" s="341"/>
      <c r="AD990" s="341"/>
      <c r="AE990" s="341"/>
      <c r="AF990" s="341"/>
    </row>
    <row r="991" spans="1:32" ht="15">
      <c r="A991" s="341"/>
      <c r="B991" s="365"/>
      <c r="C991" s="365"/>
      <c r="D991" s="366"/>
      <c r="E991" s="366"/>
      <c r="F991" s="367"/>
      <c r="G991" s="367"/>
      <c r="H991" s="366"/>
      <c r="I991" s="366"/>
      <c r="J991" s="368"/>
      <c r="K991" s="368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1"/>
      <c r="Y991" s="341"/>
      <c r="Z991" s="341"/>
      <c r="AA991" s="341"/>
      <c r="AB991" s="341"/>
      <c r="AC991" s="341"/>
      <c r="AD991" s="341"/>
      <c r="AE991" s="341"/>
      <c r="AF991" s="341"/>
    </row>
    <row r="992" spans="1:32" ht="15">
      <c r="A992" s="341"/>
      <c r="B992" s="365"/>
      <c r="C992" s="365"/>
      <c r="D992" s="366"/>
      <c r="E992" s="366"/>
      <c r="F992" s="367"/>
      <c r="G992" s="367"/>
      <c r="H992" s="366"/>
      <c r="I992" s="366"/>
      <c r="J992" s="368"/>
      <c r="K992" s="368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1"/>
      <c r="Y992" s="341"/>
      <c r="Z992" s="341"/>
      <c r="AA992" s="341"/>
      <c r="AB992" s="341"/>
      <c r="AC992" s="341"/>
      <c r="AD992" s="341"/>
      <c r="AE992" s="341"/>
      <c r="AF992" s="341"/>
    </row>
    <row r="993" spans="1:32" ht="15">
      <c r="A993" s="341"/>
      <c r="B993" s="365"/>
      <c r="C993" s="365"/>
      <c r="D993" s="366"/>
      <c r="E993" s="366"/>
      <c r="F993" s="367"/>
      <c r="G993" s="367"/>
      <c r="H993" s="366"/>
      <c r="I993" s="366"/>
      <c r="J993" s="368"/>
      <c r="K993" s="368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1"/>
      <c r="Y993" s="341"/>
      <c r="Z993" s="341"/>
      <c r="AA993" s="341"/>
      <c r="AB993" s="341"/>
      <c r="AC993" s="341"/>
      <c r="AD993" s="341"/>
      <c r="AE993" s="341"/>
      <c r="AF993" s="341"/>
    </row>
    <row r="994" spans="1:32" ht="15">
      <c r="A994" s="341"/>
      <c r="B994" s="365"/>
      <c r="C994" s="365"/>
      <c r="D994" s="366"/>
      <c r="E994" s="366"/>
      <c r="F994" s="367"/>
      <c r="G994" s="367"/>
      <c r="H994" s="366"/>
      <c r="I994" s="366"/>
      <c r="J994" s="368"/>
      <c r="K994" s="368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1"/>
      <c r="Y994" s="341"/>
      <c r="Z994" s="341"/>
      <c r="AA994" s="341"/>
      <c r="AB994" s="341"/>
      <c r="AC994" s="341"/>
      <c r="AD994" s="341"/>
      <c r="AE994" s="341"/>
      <c r="AF994" s="341"/>
    </row>
    <row r="995" spans="1:32" ht="15">
      <c r="A995" s="341"/>
      <c r="B995" s="365"/>
      <c r="C995" s="365"/>
      <c r="D995" s="366"/>
      <c r="E995" s="366"/>
      <c r="F995" s="367"/>
      <c r="G995" s="367"/>
      <c r="H995" s="366"/>
      <c r="I995" s="366"/>
      <c r="J995" s="368"/>
      <c r="K995" s="368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1"/>
      <c r="Y995" s="341"/>
      <c r="Z995" s="341"/>
      <c r="AA995" s="341"/>
      <c r="AB995" s="341"/>
      <c r="AC995" s="341"/>
      <c r="AD995" s="341"/>
      <c r="AE995" s="341"/>
      <c r="AF995" s="341"/>
    </row>
    <row r="996" spans="1:32" ht="15">
      <c r="A996" s="341"/>
      <c r="B996" s="365"/>
      <c r="C996" s="365"/>
      <c r="D996" s="366"/>
      <c r="E996" s="366"/>
      <c r="F996" s="367"/>
      <c r="G996" s="367"/>
      <c r="H996" s="366"/>
      <c r="I996" s="366"/>
      <c r="J996" s="368"/>
      <c r="K996" s="368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1"/>
      <c r="Y996" s="341"/>
      <c r="Z996" s="341"/>
      <c r="AA996" s="341"/>
      <c r="AB996" s="341"/>
      <c r="AC996" s="341"/>
      <c r="AD996" s="341"/>
      <c r="AE996" s="341"/>
      <c r="AF996" s="341"/>
    </row>
    <row r="997" spans="1:32" ht="15">
      <c r="A997" s="341"/>
      <c r="B997" s="365"/>
      <c r="C997" s="365"/>
      <c r="D997" s="366"/>
      <c r="E997" s="366"/>
      <c r="F997" s="367"/>
      <c r="G997" s="367"/>
      <c r="H997" s="366"/>
      <c r="I997" s="366"/>
      <c r="J997" s="368"/>
      <c r="K997" s="368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1"/>
      <c r="Y997" s="341"/>
      <c r="Z997" s="341"/>
      <c r="AA997" s="341"/>
      <c r="AB997" s="341"/>
      <c r="AC997" s="341"/>
      <c r="AD997" s="341"/>
      <c r="AE997" s="341"/>
      <c r="AF997" s="341"/>
    </row>
    <row r="998" spans="1:32" ht="15">
      <c r="A998" s="341"/>
      <c r="B998" s="365"/>
      <c r="C998" s="365"/>
      <c r="D998" s="366"/>
      <c r="E998" s="366"/>
      <c r="F998" s="367"/>
      <c r="G998" s="367"/>
      <c r="H998" s="366"/>
      <c r="I998" s="366"/>
      <c r="J998" s="368"/>
      <c r="K998" s="368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1"/>
      <c r="Y998" s="341"/>
      <c r="Z998" s="341"/>
      <c r="AA998" s="341"/>
      <c r="AB998" s="341"/>
      <c r="AC998" s="341"/>
      <c r="AD998" s="341"/>
      <c r="AE998" s="341"/>
      <c r="AF998" s="341"/>
    </row>
    <row r="999" spans="1:32" ht="15">
      <c r="A999" s="341"/>
      <c r="B999" s="365"/>
      <c r="C999" s="365"/>
      <c r="D999" s="366"/>
      <c r="E999" s="366"/>
      <c r="F999" s="367"/>
      <c r="G999" s="367"/>
      <c r="H999" s="366"/>
      <c r="I999" s="366"/>
      <c r="J999" s="368"/>
      <c r="K999" s="368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1"/>
      <c r="Y999" s="341"/>
      <c r="Z999" s="341"/>
      <c r="AA999" s="341"/>
      <c r="AB999" s="341"/>
      <c r="AC999" s="341"/>
      <c r="AD999" s="341"/>
      <c r="AE999" s="341"/>
      <c r="AF999" s="341"/>
    </row>
    <row r="1000" spans="1:32" ht="15">
      <c r="A1000" s="341"/>
      <c r="B1000" s="365"/>
      <c r="C1000" s="365"/>
      <c r="D1000" s="366"/>
      <c r="E1000" s="366"/>
      <c r="F1000" s="367"/>
      <c r="G1000" s="367"/>
      <c r="H1000" s="366"/>
      <c r="I1000" s="366"/>
      <c r="J1000" s="368"/>
      <c r="K1000" s="368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1"/>
      <c r="Y1000" s="341"/>
      <c r="Z1000" s="341"/>
      <c r="AA1000" s="341"/>
      <c r="AB1000" s="341"/>
      <c r="AC1000" s="341"/>
      <c r="AD1000" s="341"/>
      <c r="AE1000" s="341"/>
      <c r="AF1000" s="341"/>
    </row>
    <row r="1001" spans="1:32" ht="15">
      <c r="A1001" s="341"/>
      <c r="B1001" s="365"/>
      <c r="C1001" s="365"/>
      <c r="D1001" s="366"/>
      <c r="E1001" s="366"/>
      <c r="F1001" s="367"/>
      <c r="G1001" s="367"/>
      <c r="H1001" s="366"/>
      <c r="I1001" s="366"/>
      <c r="J1001" s="368"/>
      <c r="K1001" s="368"/>
      <c r="L1001" s="341"/>
      <c r="M1001" s="341"/>
      <c r="N1001" s="341"/>
      <c r="O1001" s="341"/>
      <c r="P1001" s="341"/>
      <c r="Q1001" s="341"/>
      <c r="R1001" s="341"/>
      <c r="S1001" s="341"/>
      <c r="T1001" s="341"/>
      <c r="U1001" s="341"/>
      <c r="V1001" s="341"/>
      <c r="W1001" s="341"/>
      <c r="X1001" s="341"/>
      <c r="Y1001" s="341"/>
      <c r="Z1001" s="341"/>
      <c r="AA1001" s="341"/>
      <c r="AB1001" s="341"/>
      <c r="AC1001" s="341"/>
      <c r="AD1001" s="341"/>
      <c r="AE1001" s="341"/>
      <c r="AF1001" s="341"/>
    </row>
    <row r="1002" spans="1:32" ht="15">
      <c r="A1002" s="341"/>
      <c r="B1002" s="365"/>
      <c r="C1002" s="365"/>
      <c r="D1002" s="366"/>
      <c r="E1002" s="366"/>
      <c r="F1002" s="367"/>
      <c r="G1002" s="367"/>
      <c r="H1002" s="366"/>
      <c r="I1002" s="366"/>
      <c r="J1002" s="368"/>
      <c r="K1002" s="368"/>
      <c r="L1002" s="341"/>
      <c r="M1002" s="341"/>
      <c r="N1002" s="341"/>
      <c r="O1002" s="341"/>
      <c r="P1002" s="341"/>
      <c r="Q1002" s="341"/>
      <c r="R1002" s="341"/>
      <c r="S1002" s="341"/>
      <c r="T1002" s="341"/>
      <c r="U1002" s="341"/>
      <c r="V1002" s="341"/>
      <c r="W1002" s="341"/>
      <c r="X1002" s="341"/>
      <c r="Y1002" s="341"/>
      <c r="Z1002" s="341"/>
      <c r="AA1002" s="341"/>
      <c r="AB1002" s="341"/>
      <c r="AC1002" s="341"/>
      <c r="AD1002" s="341"/>
      <c r="AE1002" s="341"/>
      <c r="AF1002" s="341"/>
    </row>
    <row r="1003" spans="1:32" ht="15">
      <c r="A1003" s="341"/>
      <c r="B1003" s="365"/>
      <c r="C1003" s="365"/>
      <c r="D1003" s="366"/>
      <c r="E1003" s="366"/>
      <c r="F1003" s="367"/>
      <c r="G1003" s="367"/>
      <c r="H1003" s="366"/>
      <c r="I1003" s="366"/>
      <c r="J1003" s="368"/>
      <c r="K1003" s="368"/>
      <c r="L1003" s="341"/>
      <c r="M1003" s="341"/>
      <c r="N1003" s="341"/>
      <c r="O1003" s="341"/>
      <c r="P1003" s="341"/>
      <c r="Q1003" s="341"/>
      <c r="R1003" s="341"/>
      <c r="S1003" s="341"/>
      <c r="T1003" s="341"/>
      <c r="U1003" s="341"/>
      <c r="V1003" s="341"/>
      <c r="W1003" s="341"/>
      <c r="X1003" s="341"/>
      <c r="Y1003" s="341"/>
      <c r="Z1003" s="341"/>
      <c r="AA1003" s="341"/>
      <c r="AB1003" s="341"/>
      <c r="AC1003" s="341"/>
      <c r="AD1003" s="341"/>
      <c r="AE1003" s="341"/>
      <c r="AF1003" s="341"/>
    </row>
    <row r="1004" spans="1:32" ht="15">
      <c r="A1004" s="341"/>
      <c r="B1004" s="365"/>
      <c r="C1004" s="365"/>
      <c r="D1004" s="366"/>
      <c r="E1004" s="366"/>
      <c r="F1004" s="367"/>
      <c r="G1004" s="367"/>
      <c r="H1004" s="366"/>
      <c r="I1004" s="366"/>
      <c r="J1004" s="368"/>
      <c r="K1004" s="368"/>
      <c r="L1004" s="341"/>
      <c r="M1004" s="341"/>
      <c r="N1004" s="341"/>
      <c r="O1004" s="341"/>
      <c r="P1004" s="341"/>
      <c r="Q1004" s="341"/>
      <c r="R1004" s="341"/>
      <c r="S1004" s="341"/>
      <c r="T1004" s="341"/>
      <c r="U1004" s="341"/>
      <c r="V1004" s="341"/>
      <c r="W1004" s="341"/>
      <c r="X1004" s="341"/>
      <c r="Y1004" s="341"/>
      <c r="Z1004" s="341"/>
      <c r="AA1004" s="341"/>
      <c r="AB1004" s="341"/>
      <c r="AC1004" s="341"/>
      <c r="AD1004" s="341"/>
      <c r="AE1004" s="341"/>
      <c r="AF1004" s="341"/>
    </row>
    <row r="1005" spans="1:32" ht="15">
      <c r="A1005" s="341"/>
      <c r="B1005" s="365"/>
      <c r="C1005" s="365"/>
      <c r="D1005" s="366"/>
      <c r="E1005" s="366"/>
      <c r="F1005" s="367"/>
      <c r="G1005" s="367"/>
      <c r="H1005" s="366"/>
      <c r="I1005" s="366"/>
      <c r="J1005" s="368"/>
      <c r="K1005" s="368"/>
      <c r="L1005" s="341"/>
      <c r="M1005" s="341"/>
      <c r="N1005" s="341"/>
      <c r="O1005" s="341"/>
      <c r="P1005" s="341"/>
      <c r="Q1005" s="341"/>
      <c r="R1005" s="341"/>
      <c r="S1005" s="341"/>
      <c r="T1005" s="341"/>
      <c r="U1005" s="341"/>
      <c r="V1005" s="341"/>
      <c r="W1005" s="341"/>
      <c r="X1005" s="341"/>
      <c r="Y1005" s="341"/>
      <c r="Z1005" s="341"/>
      <c r="AA1005" s="341"/>
      <c r="AB1005" s="341"/>
      <c r="AC1005" s="341"/>
      <c r="AD1005" s="341"/>
      <c r="AE1005" s="341"/>
      <c r="AF1005" s="341"/>
    </row>
    <row r="1006" spans="1:32" ht="15">
      <c r="A1006" s="341"/>
      <c r="B1006" s="365"/>
      <c r="C1006" s="365"/>
      <c r="D1006" s="366"/>
      <c r="E1006" s="366"/>
      <c r="F1006" s="367"/>
      <c r="G1006" s="367"/>
      <c r="H1006" s="366"/>
      <c r="I1006" s="366"/>
      <c r="J1006" s="368"/>
      <c r="K1006" s="368"/>
      <c r="L1006" s="341"/>
      <c r="M1006" s="341"/>
      <c r="N1006" s="341"/>
      <c r="O1006" s="341"/>
      <c r="P1006" s="341"/>
      <c r="Q1006" s="341"/>
      <c r="R1006" s="341"/>
      <c r="S1006" s="341"/>
      <c r="T1006" s="341"/>
      <c r="U1006" s="341"/>
      <c r="V1006" s="341"/>
      <c r="W1006" s="341"/>
      <c r="X1006" s="341"/>
      <c r="Y1006" s="341"/>
      <c r="Z1006" s="341"/>
      <c r="AA1006" s="341"/>
      <c r="AB1006" s="341"/>
      <c r="AC1006" s="341"/>
      <c r="AD1006" s="341"/>
      <c r="AE1006" s="341"/>
      <c r="AF1006" s="341"/>
    </row>
    <row r="1007" spans="1:32" ht="15">
      <c r="A1007" s="341"/>
      <c r="B1007" s="365"/>
      <c r="C1007" s="365"/>
      <c r="D1007" s="366"/>
      <c r="E1007" s="366"/>
      <c r="F1007" s="367"/>
      <c r="G1007" s="367"/>
      <c r="H1007" s="366"/>
      <c r="I1007" s="366"/>
      <c r="J1007" s="368"/>
      <c r="K1007" s="368"/>
      <c r="L1007" s="341"/>
      <c r="M1007" s="341"/>
      <c r="N1007" s="341"/>
      <c r="O1007" s="341"/>
      <c r="P1007" s="341"/>
      <c r="Q1007" s="341"/>
      <c r="R1007" s="341"/>
      <c r="S1007" s="341"/>
      <c r="T1007" s="341"/>
      <c r="U1007" s="341"/>
      <c r="V1007" s="341"/>
      <c r="W1007" s="341"/>
      <c r="X1007" s="341"/>
      <c r="Y1007" s="341"/>
      <c r="Z1007" s="341"/>
      <c r="AA1007" s="341"/>
      <c r="AB1007" s="341"/>
      <c r="AC1007" s="341"/>
      <c r="AD1007" s="341"/>
      <c r="AE1007" s="341"/>
      <c r="AF1007" s="341"/>
    </row>
    <row r="1008" spans="1:32" ht="15">
      <c r="A1008" s="341"/>
      <c r="B1008" s="365"/>
      <c r="C1008" s="365"/>
      <c r="D1008" s="366"/>
      <c r="E1008" s="366"/>
      <c r="F1008" s="367"/>
      <c r="G1008" s="367"/>
      <c r="H1008" s="366"/>
      <c r="I1008" s="366"/>
      <c r="J1008" s="368"/>
      <c r="K1008" s="368"/>
      <c r="L1008" s="341"/>
      <c r="M1008" s="341"/>
      <c r="N1008" s="341"/>
      <c r="O1008" s="341"/>
      <c r="P1008" s="341"/>
      <c r="Q1008" s="341"/>
      <c r="R1008" s="341"/>
      <c r="S1008" s="341"/>
      <c r="T1008" s="341"/>
      <c r="U1008" s="341"/>
      <c r="V1008" s="341"/>
      <c r="W1008" s="341"/>
      <c r="X1008" s="341"/>
      <c r="Y1008" s="341"/>
      <c r="Z1008" s="341"/>
      <c r="AA1008" s="341"/>
      <c r="AB1008" s="341"/>
      <c r="AC1008" s="341"/>
      <c r="AD1008" s="341"/>
      <c r="AE1008" s="341"/>
      <c r="AF1008" s="341"/>
    </row>
    <row r="1009" spans="1:32" ht="15">
      <c r="A1009" s="341"/>
      <c r="B1009" s="365"/>
      <c r="C1009" s="365"/>
      <c r="D1009" s="366"/>
      <c r="E1009" s="366"/>
      <c r="F1009" s="367"/>
      <c r="G1009" s="367"/>
      <c r="H1009" s="366"/>
      <c r="I1009" s="366"/>
      <c r="J1009" s="368"/>
      <c r="K1009" s="368"/>
      <c r="L1009" s="341"/>
      <c r="M1009" s="341"/>
      <c r="N1009" s="341"/>
      <c r="O1009" s="341"/>
      <c r="P1009" s="341"/>
      <c r="Q1009" s="341"/>
      <c r="R1009" s="341"/>
      <c r="S1009" s="341"/>
      <c r="T1009" s="341"/>
      <c r="U1009" s="341"/>
      <c r="V1009" s="341"/>
      <c r="W1009" s="341"/>
      <c r="X1009" s="341"/>
      <c r="Y1009" s="341"/>
      <c r="Z1009" s="341"/>
      <c r="AA1009" s="341"/>
      <c r="AB1009" s="341"/>
      <c r="AC1009" s="341"/>
      <c r="AD1009" s="341"/>
      <c r="AE1009" s="341"/>
      <c r="AF1009" s="341"/>
    </row>
    <row r="1010" spans="1:32" ht="15">
      <c r="A1010" s="341"/>
      <c r="B1010" s="365"/>
      <c r="C1010" s="365"/>
      <c r="D1010" s="366"/>
      <c r="E1010" s="366"/>
      <c r="F1010" s="367"/>
      <c r="G1010" s="367"/>
      <c r="H1010" s="366"/>
      <c r="I1010" s="366"/>
      <c r="J1010" s="368"/>
      <c r="K1010" s="368"/>
      <c r="L1010" s="341"/>
      <c r="M1010" s="341"/>
      <c r="N1010" s="341"/>
      <c r="O1010" s="341"/>
      <c r="P1010" s="341"/>
      <c r="Q1010" s="341"/>
      <c r="R1010" s="341"/>
      <c r="S1010" s="341"/>
      <c r="T1010" s="341"/>
      <c r="U1010" s="341"/>
      <c r="V1010" s="341"/>
      <c r="W1010" s="341"/>
      <c r="X1010" s="341"/>
      <c r="Y1010" s="341"/>
      <c r="Z1010" s="341"/>
      <c r="AA1010" s="341"/>
      <c r="AB1010" s="341"/>
      <c r="AC1010" s="341"/>
      <c r="AD1010" s="341"/>
      <c r="AE1010" s="341"/>
      <c r="AF1010" s="341"/>
    </row>
    <row r="1011" spans="1:32" ht="15">
      <c r="A1011" s="341"/>
      <c r="B1011" s="365"/>
      <c r="C1011" s="365"/>
      <c r="D1011" s="366"/>
      <c r="E1011" s="366"/>
      <c r="F1011" s="367"/>
      <c r="G1011" s="367"/>
      <c r="H1011" s="366"/>
      <c r="I1011" s="366"/>
      <c r="J1011" s="368"/>
      <c r="K1011" s="368"/>
      <c r="L1011" s="341"/>
      <c r="M1011" s="341"/>
      <c r="N1011" s="341"/>
      <c r="O1011" s="341"/>
      <c r="P1011" s="341"/>
      <c r="Q1011" s="341"/>
      <c r="R1011" s="341"/>
      <c r="S1011" s="341"/>
      <c r="T1011" s="341"/>
      <c r="U1011" s="341"/>
      <c r="V1011" s="341"/>
      <c r="W1011" s="341"/>
      <c r="X1011" s="341"/>
      <c r="Y1011" s="341"/>
      <c r="Z1011" s="341"/>
      <c r="AA1011" s="341"/>
      <c r="AB1011" s="341"/>
      <c r="AC1011" s="341"/>
      <c r="AD1011" s="341"/>
      <c r="AE1011" s="341"/>
      <c r="AF1011" s="341"/>
    </row>
    <row r="1012" spans="1:32" ht="15">
      <c r="A1012" s="341"/>
      <c r="B1012" s="365"/>
      <c r="C1012" s="365"/>
      <c r="D1012" s="366"/>
      <c r="E1012" s="366"/>
      <c r="F1012" s="367"/>
      <c r="G1012" s="367"/>
      <c r="H1012" s="366"/>
      <c r="I1012" s="366"/>
      <c r="J1012" s="368"/>
      <c r="K1012" s="368"/>
      <c r="L1012" s="341"/>
      <c r="M1012" s="341"/>
      <c r="N1012" s="341"/>
      <c r="O1012" s="341"/>
      <c r="P1012" s="341"/>
      <c r="Q1012" s="341"/>
      <c r="R1012" s="341"/>
      <c r="S1012" s="341"/>
      <c r="T1012" s="341"/>
      <c r="U1012" s="341"/>
      <c r="V1012" s="341"/>
      <c r="W1012" s="341"/>
      <c r="X1012" s="341"/>
      <c r="Y1012" s="341"/>
      <c r="Z1012" s="341"/>
      <c r="AA1012" s="341"/>
      <c r="AB1012" s="341"/>
      <c r="AC1012" s="341"/>
      <c r="AD1012" s="341"/>
      <c r="AE1012" s="341"/>
      <c r="AF1012" s="341"/>
    </row>
    <row r="1013" spans="1:32" ht="15">
      <c r="A1013" s="341"/>
      <c r="B1013" s="365"/>
      <c r="C1013" s="365"/>
      <c r="D1013" s="366"/>
      <c r="E1013" s="366"/>
      <c r="F1013" s="367"/>
      <c r="G1013" s="367"/>
      <c r="H1013" s="366"/>
      <c r="I1013" s="366"/>
      <c r="J1013" s="368"/>
      <c r="K1013" s="368"/>
      <c r="L1013" s="341"/>
      <c r="M1013" s="341"/>
      <c r="N1013" s="341"/>
      <c r="O1013" s="341"/>
      <c r="P1013" s="341"/>
      <c r="Q1013" s="341"/>
      <c r="R1013" s="341"/>
      <c r="S1013" s="341"/>
      <c r="T1013" s="341"/>
      <c r="U1013" s="341"/>
      <c r="V1013" s="341"/>
      <c r="W1013" s="341"/>
      <c r="X1013" s="341"/>
      <c r="Y1013" s="341"/>
      <c r="Z1013" s="341"/>
      <c r="AA1013" s="341"/>
      <c r="AB1013" s="341"/>
      <c r="AC1013" s="341"/>
      <c r="AD1013" s="341"/>
      <c r="AE1013" s="341"/>
      <c r="AF1013" s="341"/>
    </row>
    <row r="1014" spans="1:32" ht="15">
      <c r="A1014" s="341"/>
      <c r="B1014" s="365"/>
      <c r="C1014" s="365"/>
      <c r="D1014" s="366"/>
      <c r="E1014" s="366"/>
      <c r="F1014" s="367"/>
      <c r="G1014" s="367"/>
      <c r="H1014" s="366"/>
      <c r="I1014" s="366"/>
      <c r="J1014" s="368"/>
      <c r="K1014" s="368"/>
      <c r="L1014" s="341"/>
      <c r="M1014" s="341"/>
      <c r="N1014" s="341"/>
      <c r="O1014" s="341"/>
      <c r="P1014" s="341"/>
      <c r="Q1014" s="341"/>
      <c r="R1014" s="341"/>
      <c r="S1014" s="341"/>
      <c r="T1014" s="341"/>
      <c r="U1014" s="341"/>
      <c r="V1014" s="341"/>
      <c r="W1014" s="341"/>
      <c r="X1014" s="341"/>
      <c r="Y1014" s="341"/>
      <c r="Z1014" s="341"/>
      <c r="AA1014" s="341"/>
      <c r="AB1014" s="341"/>
      <c r="AC1014" s="341"/>
      <c r="AD1014" s="341"/>
      <c r="AE1014" s="341"/>
      <c r="AF1014" s="341"/>
    </row>
    <row r="1015" spans="1:32" ht="15">
      <c r="A1015" s="341"/>
      <c r="B1015" s="365"/>
      <c r="C1015" s="365"/>
      <c r="D1015" s="366"/>
      <c r="E1015" s="366"/>
      <c r="F1015" s="367"/>
      <c r="G1015" s="367"/>
      <c r="H1015" s="366"/>
      <c r="I1015" s="366"/>
      <c r="J1015" s="368"/>
      <c r="K1015" s="368"/>
      <c r="L1015" s="341"/>
      <c r="M1015" s="341"/>
      <c r="N1015" s="341"/>
      <c r="O1015" s="341"/>
      <c r="P1015" s="341"/>
      <c r="Q1015" s="341"/>
      <c r="R1015" s="341"/>
      <c r="S1015" s="341"/>
      <c r="T1015" s="341"/>
      <c r="U1015" s="341"/>
      <c r="V1015" s="341"/>
      <c r="W1015" s="341"/>
      <c r="X1015" s="341"/>
      <c r="Y1015" s="341"/>
      <c r="Z1015" s="341"/>
      <c r="AA1015" s="341"/>
      <c r="AB1015" s="341"/>
      <c r="AC1015" s="341"/>
      <c r="AD1015" s="341"/>
      <c r="AE1015" s="341"/>
      <c r="AF1015" s="341"/>
    </row>
    <row r="1016" spans="1:32" ht="15">
      <c r="A1016" s="341"/>
      <c r="B1016" s="365"/>
      <c r="C1016" s="365"/>
      <c r="D1016" s="366"/>
      <c r="E1016" s="366"/>
      <c r="F1016" s="367"/>
      <c r="G1016" s="367"/>
      <c r="H1016" s="366"/>
      <c r="I1016" s="366"/>
      <c r="J1016" s="368"/>
      <c r="K1016" s="368"/>
      <c r="L1016" s="341"/>
      <c r="M1016" s="341"/>
      <c r="N1016" s="341"/>
      <c r="O1016" s="341"/>
      <c r="P1016" s="341"/>
      <c r="Q1016" s="341"/>
      <c r="R1016" s="341"/>
      <c r="S1016" s="341"/>
      <c r="T1016" s="341"/>
      <c r="U1016" s="341"/>
      <c r="V1016" s="341"/>
      <c r="W1016" s="341"/>
      <c r="X1016" s="341"/>
      <c r="Y1016" s="341"/>
      <c r="Z1016" s="341"/>
      <c r="AA1016" s="341"/>
      <c r="AB1016" s="341"/>
      <c r="AC1016" s="341"/>
      <c r="AD1016" s="341"/>
      <c r="AE1016" s="341"/>
      <c r="AF1016" s="341"/>
    </row>
    <row r="1017" spans="1:32" ht="15">
      <c r="A1017" s="341"/>
      <c r="B1017" s="365"/>
      <c r="C1017" s="365"/>
      <c r="D1017" s="366"/>
      <c r="E1017" s="366"/>
      <c r="F1017" s="367"/>
      <c r="G1017" s="367"/>
      <c r="H1017" s="366"/>
      <c r="I1017" s="366"/>
      <c r="J1017" s="368"/>
      <c r="K1017" s="368"/>
      <c r="L1017" s="341"/>
      <c r="M1017" s="341"/>
      <c r="N1017" s="341"/>
      <c r="O1017" s="341"/>
      <c r="P1017" s="341"/>
      <c r="Q1017" s="341"/>
      <c r="R1017" s="341"/>
      <c r="S1017" s="341"/>
      <c r="T1017" s="341"/>
      <c r="U1017" s="341"/>
      <c r="V1017" s="341"/>
      <c r="W1017" s="341"/>
      <c r="X1017" s="341"/>
      <c r="Y1017" s="341"/>
      <c r="Z1017" s="341"/>
      <c r="AA1017" s="341"/>
      <c r="AB1017" s="341"/>
      <c r="AC1017" s="341"/>
      <c r="AD1017" s="341"/>
      <c r="AE1017" s="341"/>
      <c r="AF1017" s="341"/>
    </row>
    <row r="1018" spans="1:32" ht="15">
      <c r="A1018" s="341"/>
      <c r="B1018" s="365"/>
      <c r="C1018" s="365"/>
      <c r="D1018" s="366"/>
      <c r="E1018" s="366"/>
      <c r="F1018" s="367"/>
      <c r="G1018" s="367"/>
      <c r="H1018" s="366"/>
      <c r="I1018" s="366"/>
      <c r="J1018" s="368"/>
      <c r="K1018" s="368"/>
      <c r="L1018" s="341"/>
      <c r="M1018" s="341"/>
      <c r="N1018" s="341"/>
      <c r="O1018" s="341"/>
      <c r="P1018" s="341"/>
      <c r="Q1018" s="341"/>
      <c r="R1018" s="341"/>
      <c r="S1018" s="341"/>
      <c r="T1018" s="341"/>
      <c r="U1018" s="341"/>
      <c r="V1018" s="341"/>
      <c r="W1018" s="341"/>
      <c r="X1018" s="341"/>
      <c r="Y1018" s="341"/>
      <c r="Z1018" s="341"/>
      <c r="AA1018" s="341"/>
      <c r="AB1018" s="341"/>
      <c r="AC1018" s="341"/>
      <c r="AD1018" s="341"/>
      <c r="AE1018" s="341"/>
      <c r="AF1018" s="341"/>
    </row>
    <row r="1019" spans="1:32" ht="15">
      <c r="A1019" s="341"/>
      <c r="B1019" s="365"/>
      <c r="C1019" s="365"/>
      <c r="D1019" s="366"/>
      <c r="E1019" s="366"/>
      <c r="F1019" s="367"/>
      <c r="G1019" s="367"/>
      <c r="H1019" s="366"/>
      <c r="I1019" s="366"/>
      <c r="J1019" s="368"/>
      <c r="K1019" s="368"/>
      <c r="L1019" s="341"/>
      <c r="M1019" s="341"/>
      <c r="N1019" s="341"/>
      <c r="O1019" s="341"/>
      <c r="P1019" s="341"/>
      <c r="Q1019" s="341"/>
      <c r="R1019" s="341"/>
      <c r="S1019" s="341"/>
      <c r="T1019" s="341"/>
      <c r="U1019" s="341"/>
      <c r="V1019" s="341"/>
      <c r="W1019" s="341"/>
      <c r="X1019" s="341"/>
      <c r="Y1019" s="341"/>
      <c r="Z1019" s="341"/>
      <c r="AA1019" s="341"/>
      <c r="AB1019" s="341"/>
      <c r="AC1019" s="341"/>
      <c r="AD1019" s="341"/>
      <c r="AE1019" s="341"/>
      <c r="AF1019" s="341"/>
    </row>
    <row r="1020" spans="1:32" ht="15">
      <c r="A1020" s="341"/>
      <c r="B1020" s="365"/>
      <c r="C1020" s="365"/>
      <c r="D1020" s="366"/>
      <c r="E1020" s="366"/>
      <c r="F1020" s="367"/>
      <c r="G1020" s="367"/>
      <c r="H1020" s="366"/>
      <c r="I1020" s="366"/>
      <c r="J1020" s="368"/>
      <c r="K1020" s="368"/>
      <c r="L1020" s="341"/>
      <c r="M1020" s="341"/>
      <c r="N1020" s="341"/>
      <c r="O1020" s="341"/>
      <c r="P1020" s="341"/>
      <c r="Q1020" s="341"/>
      <c r="R1020" s="341"/>
      <c r="S1020" s="341"/>
      <c r="T1020" s="341"/>
      <c r="U1020" s="341"/>
      <c r="V1020" s="341"/>
      <c r="W1020" s="341"/>
      <c r="X1020" s="341"/>
      <c r="Y1020" s="341"/>
      <c r="Z1020" s="341"/>
      <c r="AA1020" s="341"/>
      <c r="AB1020" s="341"/>
      <c r="AC1020" s="341"/>
      <c r="AD1020" s="341"/>
      <c r="AE1020" s="341"/>
      <c r="AF1020" s="341"/>
    </row>
    <row r="1021" spans="1:32" ht="15">
      <c r="A1021" s="341"/>
      <c r="B1021" s="365"/>
      <c r="C1021" s="365"/>
      <c r="D1021" s="366"/>
      <c r="E1021" s="366"/>
      <c r="F1021" s="367"/>
      <c r="G1021" s="367"/>
      <c r="H1021" s="366"/>
      <c r="I1021" s="366"/>
      <c r="J1021" s="368"/>
      <c r="K1021" s="368"/>
      <c r="L1021" s="341"/>
      <c r="M1021" s="341"/>
      <c r="N1021" s="341"/>
      <c r="O1021" s="341"/>
      <c r="P1021" s="341"/>
      <c r="Q1021" s="341"/>
      <c r="R1021" s="341"/>
      <c r="S1021" s="341"/>
      <c r="T1021" s="341"/>
      <c r="U1021" s="341"/>
      <c r="V1021" s="341"/>
      <c r="W1021" s="341"/>
      <c r="X1021" s="341"/>
      <c r="Y1021" s="341"/>
      <c r="Z1021" s="341"/>
      <c r="AA1021" s="341"/>
      <c r="AB1021" s="341"/>
      <c r="AC1021" s="341"/>
      <c r="AD1021" s="341"/>
      <c r="AE1021" s="341"/>
      <c r="AF1021" s="341"/>
    </row>
    <row r="1022" spans="1:32" ht="15">
      <c r="A1022" s="341"/>
      <c r="B1022" s="365"/>
      <c r="C1022" s="365"/>
      <c r="D1022" s="366"/>
      <c r="E1022" s="366"/>
      <c r="F1022" s="367"/>
      <c r="G1022" s="367"/>
      <c r="H1022" s="366"/>
      <c r="I1022" s="366"/>
      <c r="J1022" s="368"/>
      <c r="K1022" s="368"/>
      <c r="L1022" s="341"/>
      <c r="M1022" s="341"/>
      <c r="N1022" s="341"/>
      <c r="O1022" s="341"/>
      <c r="P1022" s="341"/>
      <c r="Q1022" s="341"/>
      <c r="R1022" s="341"/>
      <c r="S1022" s="341"/>
      <c r="T1022" s="341"/>
      <c r="U1022" s="341"/>
      <c r="V1022" s="341"/>
      <c r="W1022" s="341"/>
      <c r="X1022" s="341"/>
      <c r="Y1022" s="341"/>
      <c r="Z1022" s="341"/>
      <c r="AA1022" s="341"/>
      <c r="AB1022" s="341"/>
      <c r="AC1022" s="341"/>
      <c r="AD1022" s="341"/>
      <c r="AE1022" s="341"/>
      <c r="AF1022" s="341"/>
    </row>
    <row r="1023" spans="1:32" ht="15">
      <c r="A1023" s="341"/>
      <c r="B1023" s="365"/>
      <c r="C1023" s="365"/>
      <c r="D1023" s="366"/>
      <c r="E1023" s="366"/>
      <c r="F1023" s="367"/>
      <c r="G1023" s="367"/>
      <c r="H1023" s="366"/>
      <c r="I1023" s="366"/>
      <c r="J1023" s="368"/>
      <c r="K1023" s="368"/>
      <c r="L1023" s="341"/>
      <c r="M1023" s="341"/>
      <c r="N1023" s="341"/>
      <c r="O1023" s="341"/>
      <c r="P1023" s="341"/>
      <c r="Q1023" s="341"/>
      <c r="R1023" s="341"/>
      <c r="S1023" s="341"/>
      <c r="T1023" s="341"/>
      <c r="U1023" s="341"/>
      <c r="V1023" s="341"/>
      <c r="W1023" s="341"/>
      <c r="X1023" s="341"/>
      <c r="Y1023" s="341"/>
      <c r="Z1023" s="341"/>
      <c r="AA1023" s="341"/>
      <c r="AB1023" s="341"/>
      <c r="AC1023" s="341"/>
      <c r="AD1023" s="341"/>
      <c r="AE1023" s="341"/>
      <c r="AF1023" s="341"/>
    </row>
    <row r="1024" spans="1:32" ht="15">
      <c r="A1024" s="341"/>
      <c r="B1024" s="365"/>
      <c r="C1024" s="365"/>
      <c r="D1024" s="366"/>
      <c r="E1024" s="366"/>
      <c r="F1024" s="367"/>
      <c r="G1024" s="367"/>
      <c r="H1024" s="366"/>
      <c r="I1024" s="366"/>
      <c r="J1024" s="368"/>
      <c r="K1024" s="368"/>
      <c r="L1024" s="341"/>
      <c r="M1024" s="341"/>
      <c r="N1024" s="341"/>
      <c r="O1024" s="341"/>
      <c r="P1024" s="341"/>
      <c r="Q1024" s="341"/>
      <c r="R1024" s="341"/>
      <c r="S1024" s="341"/>
      <c r="T1024" s="341"/>
      <c r="U1024" s="341"/>
      <c r="V1024" s="341"/>
      <c r="W1024" s="341"/>
      <c r="X1024" s="341"/>
      <c r="Y1024" s="341"/>
      <c r="Z1024" s="341"/>
      <c r="AA1024" s="341"/>
      <c r="AB1024" s="341"/>
      <c r="AC1024" s="341"/>
      <c r="AD1024" s="341"/>
      <c r="AE1024" s="341"/>
      <c r="AF1024" s="341"/>
    </row>
    <row r="1025" spans="1:32" ht="15">
      <c r="A1025" s="341"/>
      <c r="B1025" s="365"/>
      <c r="C1025" s="365"/>
      <c r="D1025" s="366"/>
      <c r="E1025" s="366"/>
      <c r="F1025" s="367"/>
      <c r="G1025" s="367"/>
      <c r="H1025" s="366"/>
      <c r="I1025" s="366"/>
      <c r="J1025" s="368"/>
      <c r="K1025" s="368"/>
      <c r="L1025" s="341"/>
      <c r="M1025" s="341"/>
      <c r="N1025" s="341"/>
      <c r="O1025" s="341"/>
      <c r="P1025" s="341"/>
      <c r="Q1025" s="341"/>
      <c r="R1025" s="341"/>
      <c r="S1025" s="341"/>
      <c r="T1025" s="341"/>
      <c r="U1025" s="341"/>
      <c r="V1025" s="341"/>
      <c r="W1025" s="341"/>
      <c r="X1025" s="341"/>
      <c r="Y1025" s="341"/>
      <c r="Z1025" s="341"/>
      <c r="AA1025" s="341"/>
      <c r="AB1025" s="341"/>
      <c r="AC1025" s="341"/>
      <c r="AD1025" s="341"/>
      <c r="AE1025" s="341"/>
      <c r="AF1025" s="341"/>
    </row>
    <row r="1026" spans="1:32" ht="15">
      <c r="A1026" s="341"/>
      <c r="B1026" s="365"/>
      <c r="C1026" s="365"/>
      <c r="D1026" s="366"/>
      <c r="E1026" s="366"/>
      <c r="F1026" s="367"/>
      <c r="G1026" s="367"/>
      <c r="H1026" s="366"/>
      <c r="I1026" s="366"/>
      <c r="J1026" s="368"/>
      <c r="K1026" s="368"/>
      <c r="L1026" s="341"/>
      <c r="M1026" s="341"/>
      <c r="N1026" s="341"/>
      <c r="O1026" s="341"/>
      <c r="P1026" s="341"/>
      <c r="Q1026" s="341"/>
      <c r="R1026" s="341"/>
      <c r="S1026" s="341"/>
      <c r="T1026" s="341"/>
      <c r="U1026" s="341"/>
      <c r="V1026" s="341"/>
      <c r="W1026" s="341"/>
      <c r="X1026" s="341"/>
      <c r="Y1026" s="341"/>
      <c r="Z1026" s="341"/>
      <c r="AA1026" s="341"/>
      <c r="AB1026" s="341"/>
      <c r="AC1026" s="341"/>
      <c r="AD1026" s="341"/>
      <c r="AE1026" s="341"/>
      <c r="AF1026" s="341"/>
    </row>
    <row r="1027" spans="1:32" ht="15">
      <c r="A1027" s="341"/>
      <c r="B1027" s="365"/>
      <c r="C1027" s="365"/>
      <c r="D1027" s="366"/>
      <c r="E1027" s="366"/>
      <c r="F1027" s="367"/>
      <c r="G1027" s="367"/>
      <c r="H1027" s="366"/>
      <c r="I1027" s="366"/>
      <c r="J1027" s="368"/>
      <c r="K1027" s="368"/>
      <c r="L1027" s="341"/>
      <c r="M1027" s="341"/>
      <c r="N1027" s="341"/>
      <c r="O1027" s="341"/>
      <c r="P1027" s="341"/>
      <c r="Q1027" s="341"/>
      <c r="R1027" s="341"/>
      <c r="S1027" s="341"/>
      <c r="T1027" s="341"/>
      <c r="U1027" s="341"/>
      <c r="V1027" s="341"/>
      <c r="W1027" s="341"/>
      <c r="X1027" s="341"/>
      <c r="Y1027" s="341"/>
      <c r="Z1027" s="341"/>
      <c r="AA1027" s="341"/>
      <c r="AB1027" s="341"/>
      <c r="AC1027" s="341"/>
      <c r="AD1027" s="341"/>
      <c r="AE1027" s="341"/>
      <c r="AF1027" s="341"/>
    </row>
    <row r="1028" spans="1:32" ht="15">
      <c r="A1028" s="341"/>
      <c r="B1028" s="365"/>
      <c r="C1028" s="365"/>
      <c r="D1028" s="366"/>
      <c r="E1028" s="366"/>
      <c r="F1028" s="367"/>
      <c r="G1028" s="367"/>
      <c r="H1028" s="366"/>
      <c r="I1028" s="366"/>
      <c r="J1028" s="368"/>
      <c r="K1028" s="368"/>
      <c r="L1028" s="341"/>
      <c r="M1028" s="341"/>
      <c r="N1028" s="341"/>
      <c r="O1028" s="341"/>
      <c r="P1028" s="341"/>
      <c r="Q1028" s="341"/>
      <c r="R1028" s="341"/>
      <c r="S1028" s="341"/>
      <c r="T1028" s="341"/>
      <c r="U1028" s="341"/>
      <c r="V1028" s="341"/>
      <c r="W1028" s="341"/>
      <c r="X1028" s="341"/>
      <c r="Y1028" s="341"/>
      <c r="Z1028" s="341"/>
      <c r="AA1028" s="341"/>
      <c r="AB1028" s="341"/>
      <c r="AC1028" s="341"/>
      <c r="AD1028" s="341"/>
      <c r="AE1028" s="341"/>
      <c r="AF1028" s="341"/>
    </row>
    <row r="1029" spans="1:32" ht="15">
      <c r="A1029" s="341"/>
      <c r="B1029" s="365"/>
      <c r="C1029" s="365"/>
      <c r="D1029" s="366"/>
      <c r="E1029" s="366"/>
      <c r="F1029" s="367"/>
      <c r="G1029" s="367"/>
      <c r="H1029" s="366"/>
      <c r="I1029" s="366"/>
      <c r="J1029" s="368"/>
      <c r="K1029" s="368"/>
      <c r="L1029" s="341"/>
      <c r="M1029" s="341"/>
      <c r="N1029" s="341"/>
      <c r="O1029" s="341"/>
      <c r="P1029" s="341"/>
      <c r="Q1029" s="341"/>
      <c r="R1029" s="341"/>
      <c r="S1029" s="341"/>
      <c r="T1029" s="341"/>
      <c r="U1029" s="341"/>
      <c r="V1029" s="341"/>
      <c r="W1029" s="341"/>
      <c r="X1029" s="341"/>
      <c r="Y1029" s="341"/>
      <c r="Z1029" s="341"/>
      <c r="AA1029" s="341"/>
      <c r="AB1029" s="341"/>
      <c r="AC1029" s="341"/>
      <c r="AD1029" s="341"/>
      <c r="AE1029" s="341"/>
      <c r="AF1029" s="341"/>
    </row>
    <row r="1030" spans="1:32" ht="15">
      <c r="A1030" s="341"/>
      <c r="B1030" s="365"/>
      <c r="C1030" s="365"/>
      <c r="D1030" s="366"/>
      <c r="E1030" s="366"/>
      <c r="F1030" s="367"/>
      <c r="G1030" s="367"/>
      <c r="H1030" s="366"/>
      <c r="I1030" s="366"/>
      <c r="J1030" s="368"/>
      <c r="K1030" s="368"/>
      <c r="L1030" s="341"/>
      <c r="M1030" s="341"/>
      <c r="N1030" s="341"/>
      <c r="O1030" s="341"/>
      <c r="P1030" s="341"/>
      <c r="Q1030" s="341"/>
      <c r="R1030" s="341"/>
      <c r="S1030" s="341"/>
      <c r="T1030" s="341"/>
      <c r="U1030" s="341"/>
      <c r="V1030" s="341"/>
      <c r="W1030" s="341"/>
      <c r="X1030" s="341"/>
      <c r="Y1030" s="341"/>
      <c r="Z1030" s="341"/>
      <c r="AA1030" s="341"/>
      <c r="AB1030" s="341"/>
      <c r="AC1030" s="341"/>
      <c r="AD1030" s="341"/>
      <c r="AE1030" s="341"/>
      <c r="AF1030" s="341"/>
    </row>
    <row r="1031" spans="1:32" ht="15">
      <c r="A1031" s="341"/>
      <c r="B1031" s="365"/>
      <c r="C1031" s="365"/>
      <c r="D1031" s="366"/>
      <c r="E1031" s="366"/>
      <c r="F1031" s="367"/>
      <c r="G1031" s="367"/>
      <c r="H1031" s="366"/>
      <c r="I1031" s="366"/>
      <c r="J1031" s="368"/>
      <c r="K1031" s="368"/>
      <c r="L1031" s="341"/>
      <c r="M1031" s="341"/>
      <c r="N1031" s="341"/>
      <c r="O1031" s="341"/>
      <c r="P1031" s="341"/>
      <c r="Q1031" s="341"/>
      <c r="R1031" s="341"/>
      <c r="S1031" s="341"/>
      <c r="T1031" s="341"/>
      <c r="U1031" s="341"/>
      <c r="V1031" s="341"/>
      <c r="W1031" s="341"/>
      <c r="X1031" s="341"/>
      <c r="Y1031" s="341"/>
      <c r="Z1031" s="341"/>
      <c r="AA1031" s="341"/>
      <c r="AB1031" s="341"/>
      <c r="AC1031" s="341"/>
      <c r="AD1031" s="341"/>
      <c r="AE1031" s="341"/>
      <c r="AF1031" s="341"/>
    </row>
    <row r="1032" spans="1:32" ht="15">
      <c r="A1032" s="341"/>
      <c r="B1032" s="365"/>
      <c r="C1032" s="365"/>
      <c r="D1032" s="366"/>
      <c r="E1032" s="366"/>
      <c r="F1032" s="367"/>
      <c r="G1032" s="367"/>
      <c r="H1032" s="366"/>
      <c r="I1032" s="366"/>
      <c r="J1032" s="368"/>
      <c r="K1032" s="368"/>
      <c r="L1032" s="341"/>
      <c r="M1032" s="341"/>
      <c r="N1032" s="341"/>
      <c r="O1032" s="341"/>
      <c r="P1032" s="341"/>
      <c r="Q1032" s="341"/>
      <c r="R1032" s="341"/>
      <c r="S1032" s="341"/>
      <c r="T1032" s="341"/>
      <c r="U1032" s="341"/>
      <c r="V1032" s="341"/>
      <c r="W1032" s="341"/>
      <c r="X1032" s="341"/>
      <c r="Y1032" s="341"/>
      <c r="Z1032" s="341"/>
      <c r="AA1032" s="341"/>
      <c r="AB1032" s="341"/>
      <c r="AC1032" s="341"/>
      <c r="AD1032" s="341"/>
      <c r="AE1032" s="341"/>
      <c r="AF1032" s="341"/>
    </row>
    <row r="1033" spans="1:32" ht="15">
      <c r="A1033" s="341"/>
      <c r="B1033" s="365"/>
      <c r="C1033" s="365"/>
      <c r="D1033" s="366"/>
      <c r="E1033" s="366"/>
      <c r="F1033" s="367"/>
      <c r="G1033" s="367"/>
      <c r="H1033" s="366"/>
      <c r="I1033" s="366"/>
      <c r="J1033" s="368"/>
      <c r="K1033" s="368"/>
      <c r="L1033" s="341"/>
      <c r="M1033" s="341"/>
      <c r="N1033" s="341"/>
      <c r="O1033" s="341"/>
      <c r="P1033" s="341"/>
      <c r="Q1033" s="341"/>
      <c r="R1033" s="341"/>
      <c r="S1033" s="341"/>
      <c r="T1033" s="341"/>
      <c r="U1033" s="341"/>
      <c r="V1033" s="341"/>
      <c r="W1033" s="341"/>
      <c r="X1033" s="341"/>
      <c r="Y1033" s="341"/>
      <c r="Z1033" s="341"/>
      <c r="AA1033" s="341"/>
      <c r="AB1033" s="341"/>
      <c r="AC1033" s="341"/>
      <c r="AD1033" s="341"/>
      <c r="AE1033" s="341"/>
      <c r="AF1033" s="341"/>
    </row>
    <row r="1034" spans="1:32" ht="15">
      <c r="A1034" s="341"/>
      <c r="B1034" s="365"/>
      <c r="C1034" s="365"/>
      <c r="D1034" s="366"/>
      <c r="E1034" s="366"/>
      <c r="F1034" s="367"/>
      <c r="G1034" s="367"/>
      <c r="H1034" s="366"/>
      <c r="I1034" s="366"/>
      <c r="J1034" s="368"/>
      <c r="K1034" s="368"/>
      <c r="L1034" s="341"/>
      <c r="M1034" s="341"/>
      <c r="N1034" s="341"/>
      <c r="O1034" s="341"/>
      <c r="P1034" s="341"/>
      <c r="Q1034" s="341"/>
      <c r="R1034" s="341"/>
      <c r="S1034" s="341"/>
      <c r="T1034" s="341"/>
      <c r="U1034" s="341"/>
      <c r="V1034" s="341"/>
      <c r="W1034" s="341"/>
      <c r="X1034" s="341"/>
      <c r="Y1034" s="341"/>
      <c r="Z1034" s="341"/>
      <c r="AA1034" s="341"/>
      <c r="AB1034" s="341"/>
      <c r="AC1034" s="341"/>
      <c r="AD1034" s="341"/>
      <c r="AE1034" s="341"/>
      <c r="AF1034" s="341"/>
    </row>
    <row r="1035" spans="1:32" ht="15">
      <c r="A1035" s="341"/>
      <c r="B1035" s="365"/>
      <c r="C1035" s="365"/>
      <c r="D1035" s="366"/>
      <c r="E1035" s="366"/>
      <c r="F1035" s="367"/>
      <c r="G1035" s="367"/>
      <c r="H1035" s="366"/>
      <c r="I1035" s="366"/>
      <c r="J1035" s="368"/>
      <c r="K1035" s="368"/>
      <c r="L1035" s="341"/>
      <c r="M1035" s="341"/>
      <c r="N1035" s="341"/>
      <c r="O1035" s="341"/>
      <c r="P1035" s="341"/>
      <c r="Q1035" s="341"/>
      <c r="R1035" s="341"/>
      <c r="S1035" s="341"/>
      <c r="T1035" s="341"/>
      <c r="U1035" s="341"/>
      <c r="V1035" s="341"/>
      <c r="W1035" s="341"/>
      <c r="X1035" s="341"/>
      <c r="Y1035" s="341"/>
      <c r="Z1035" s="341"/>
      <c r="AA1035" s="341"/>
      <c r="AB1035" s="341"/>
      <c r="AC1035" s="341"/>
      <c r="AD1035" s="341"/>
      <c r="AE1035" s="341"/>
      <c r="AF1035" s="341"/>
    </row>
    <row r="1036" spans="1:32" ht="15">
      <c r="A1036" s="341"/>
      <c r="B1036" s="365"/>
      <c r="C1036" s="365"/>
      <c r="D1036" s="366"/>
      <c r="E1036" s="366"/>
      <c r="F1036" s="367"/>
      <c r="G1036" s="367"/>
      <c r="H1036" s="366"/>
      <c r="I1036" s="366"/>
      <c r="J1036" s="368"/>
      <c r="K1036" s="368"/>
      <c r="L1036" s="341"/>
      <c r="M1036" s="341"/>
      <c r="N1036" s="341"/>
      <c r="O1036" s="341"/>
      <c r="P1036" s="341"/>
      <c r="Q1036" s="341"/>
      <c r="R1036" s="341"/>
      <c r="S1036" s="341"/>
      <c r="T1036" s="341"/>
      <c r="U1036" s="341"/>
      <c r="V1036" s="341"/>
      <c r="W1036" s="341"/>
      <c r="X1036" s="341"/>
      <c r="Y1036" s="341"/>
      <c r="Z1036" s="341"/>
      <c r="AA1036" s="341"/>
      <c r="AB1036" s="341"/>
      <c r="AC1036" s="341"/>
      <c r="AD1036" s="341"/>
      <c r="AE1036" s="341"/>
      <c r="AF1036" s="341"/>
    </row>
    <row r="1037" spans="1:32" ht="15">
      <c r="A1037" s="341"/>
      <c r="B1037" s="365"/>
      <c r="C1037" s="365"/>
      <c r="D1037" s="366"/>
      <c r="E1037" s="366"/>
      <c r="F1037" s="367"/>
      <c r="G1037" s="367"/>
      <c r="H1037" s="366"/>
      <c r="I1037" s="366"/>
      <c r="J1037" s="368"/>
      <c r="K1037" s="368"/>
      <c r="L1037" s="341"/>
      <c r="M1037" s="341"/>
      <c r="N1037" s="341"/>
      <c r="O1037" s="341"/>
      <c r="P1037" s="341"/>
      <c r="Q1037" s="341"/>
      <c r="R1037" s="341"/>
      <c r="S1037" s="341"/>
      <c r="T1037" s="341"/>
      <c r="U1037" s="341"/>
      <c r="V1037" s="341"/>
      <c r="W1037" s="341"/>
      <c r="X1037" s="341"/>
      <c r="Y1037" s="341"/>
      <c r="Z1037" s="341"/>
      <c r="AA1037" s="341"/>
      <c r="AB1037" s="341"/>
      <c r="AC1037" s="341"/>
      <c r="AD1037" s="341"/>
      <c r="AE1037" s="341"/>
      <c r="AF1037" s="341"/>
    </row>
    <row r="1038" spans="1:32" ht="15">
      <c r="A1038" s="341"/>
      <c r="B1038" s="365"/>
      <c r="C1038" s="365"/>
      <c r="D1038" s="366"/>
      <c r="E1038" s="366"/>
      <c r="F1038" s="367"/>
      <c r="G1038" s="367"/>
      <c r="H1038" s="366"/>
      <c r="I1038" s="366"/>
      <c r="J1038" s="368"/>
      <c r="K1038" s="368"/>
      <c r="L1038" s="341"/>
      <c r="M1038" s="341"/>
      <c r="N1038" s="341"/>
      <c r="O1038" s="341"/>
      <c r="P1038" s="341"/>
      <c r="Q1038" s="341"/>
      <c r="R1038" s="341"/>
      <c r="S1038" s="341"/>
      <c r="T1038" s="341"/>
      <c r="U1038" s="341"/>
      <c r="V1038" s="341"/>
      <c r="W1038" s="341"/>
      <c r="X1038" s="341"/>
      <c r="Y1038" s="341"/>
      <c r="Z1038" s="341"/>
      <c r="AA1038" s="341"/>
      <c r="AB1038" s="341"/>
      <c r="AC1038" s="341"/>
      <c r="AD1038" s="341"/>
      <c r="AE1038" s="341"/>
      <c r="AF1038" s="341"/>
    </row>
    <row r="1039" spans="1:32" ht="15">
      <c r="A1039" s="341"/>
      <c r="B1039" s="365"/>
      <c r="C1039" s="365"/>
      <c r="D1039" s="366"/>
      <c r="E1039" s="366"/>
      <c r="F1039" s="367"/>
      <c r="G1039" s="367"/>
      <c r="H1039" s="366"/>
      <c r="I1039" s="366"/>
      <c r="J1039" s="368"/>
      <c r="K1039" s="368"/>
      <c r="L1039" s="341"/>
      <c r="M1039" s="341"/>
      <c r="N1039" s="341"/>
      <c r="O1039" s="341"/>
      <c r="P1039" s="341"/>
      <c r="Q1039" s="341"/>
      <c r="R1039" s="341"/>
      <c r="S1039" s="341"/>
      <c r="T1039" s="341"/>
      <c r="U1039" s="341"/>
      <c r="V1039" s="341"/>
      <c r="W1039" s="341"/>
      <c r="X1039" s="341"/>
      <c r="Y1039" s="341"/>
      <c r="Z1039" s="341"/>
      <c r="AA1039" s="341"/>
      <c r="AB1039" s="341"/>
      <c r="AC1039" s="341"/>
      <c r="AD1039" s="341"/>
      <c r="AE1039" s="341"/>
      <c r="AF1039" s="341"/>
    </row>
    <row r="1040" spans="1:32" ht="15">
      <c r="A1040" s="341"/>
      <c r="B1040" s="365"/>
      <c r="C1040" s="365"/>
      <c r="D1040" s="366"/>
      <c r="E1040" s="366"/>
      <c r="F1040" s="367"/>
      <c r="G1040" s="367"/>
      <c r="H1040" s="366"/>
      <c r="I1040" s="366"/>
      <c r="J1040" s="368"/>
      <c r="K1040" s="368"/>
      <c r="L1040" s="341"/>
      <c r="M1040" s="341"/>
      <c r="N1040" s="341"/>
      <c r="O1040" s="341"/>
      <c r="P1040" s="341"/>
      <c r="Q1040" s="341"/>
      <c r="R1040" s="341"/>
      <c r="S1040" s="341"/>
      <c r="T1040" s="341"/>
      <c r="U1040" s="341"/>
      <c r="V1040" s="341"/>
      <c r="W1040" s="341"/>
      <c r="X1040" s="341"/>
      <c r="Y1040" s="341"/>
      <c r="Z1040" s="341"/>
      <c r="AA1040" s="341"/>
      <c r="AB1040" s="341"/>
      <c r="AC1040" s="341"/>
      <c r="AD1040" s="341"/>
      <c r="AE1040" s="341"/>
      <c r="AF1040" s="341"/>
    </row>
    <row r="1041" spans="1:32" ht="15">
      <c r="A1041" s="341"/>
      <c r="B1041" s="365"/>
      <c r="C1041" s="365"/>
      <c r="D1041" s="366"/>
      <c r="E1041" s="366"/>
      <c r="F1041" s="367"/>
      <c r="G1041" s="367"/>
      <c r="H1041" s="366"/>
      <c r="I1041" s="366"/>
      <c r="J1041" s="368"/>
      <c r="K1041" s="368"/>
      <c r="L1041" s="341"/>
      <c r="M1041" s="341"/>
      <c r="N1041" s="341"/>
      <c r="O1041" s="341"/>
      <c r="P1041" s="341"/>
      <c r="Q1041" s="341"/>
      <c r="R1041" s="341"/>
      <c r="S1041" s="341"/>
      <c r="T1041" s="341"/>
      <c r="U1041" s="341"/>
      <c r="V1041" s="341"/>
      <c r="W1041" s="341"/>
      <c r="X1041" s="341"/>
      <c r="Y1041" s="341"/>
      <c r="Z1041" s="341"/>
      <c r="AA1041" s="341"/>
      <c r="AB1041" s="341"/>
      <c r="AC1041" s="341"/>
      <c r="AD1041" s="341"/>
      <c r="AE1041" s="341"/>
      <c r="AF1041" s="341"/>
    </row>
    <row r="1042" spans="1:32" ht="15">
      <c r="A1042" s="341"/>
      <c r="B1042" s="365"/>
      <c r="C1042" s="365"/>
      <c r="D1042" s="366"/>
      <c r="E1042" s="366"/>
      <c r="F1042" s="367"/>
      <c r="G1042" s="367"/>
      <c r="H1042" s="366"/>
      <c r="I1042" s="366"/>
      <c r="J1042" s="368"/>
      <c r="K1042" s="368"/>
      <c r="L1042" s="341"/>
      <c r="M1042" s="341"/>
      <c r="N1042" s="341"/>
      <c r="O1042" s="341"/>
      <c r="P1042" s="341"/>
      <c r="Q1042" s="341"/>
      <c r="R1042" s="341"/>
      <c r="S1042" s="341"/>
      <c r="T1042" s="341"/>
      <c r="U1042" s="341"/>
      <c r="V1042" s="341"/>
      <c r="W1042" s="341"/>
      <c r="X1042" s="341"/>
      <c r="Y1042" s="341"/>
      <c r="Z1042" s="341"/>
      <c r="AA1042" s="341"/>
      <c r="AB1042" s="341"/>
      <c r="AC1042" s="341"/>
      <c r="AD1042" s="341"/>
      <c r="AE1042" s="341"/>
      <c r="AF1042" s="341"/>
    </row>
    <row r="1043" spans="1:32" ht="15">
      <c r="A1043" s="341"/>
      <c r="B1043" s="365"/>
      <c r="C1043" s="365"/>
      <c r="D1043" s="366"/>
      <c r="E1043" s="366"/>
      <c r="F1043" s="367"/>
      <c r="G1043" s="367"/>
      <c r="H1043" s="366"/>
      <c r="I1043" s="366"/>
      <c r="J1043" s="368"/>
      <c r="K1043" s="368"/>
      <c r="L1043" s="341"/>
      <c r="M1043" s="341"/>
      <c r="N1043" s="341"/>
      <c r="O1043" s="341"/>
      <c r="P1043" s="341"/>
      <c r="Q1043" s="341"/>
      <c r="R1043" s="341"/>
      <c r="S1043" s="341"/>
      <c r="T1043" s="341"/>
      <c r="U1043" s="341"/>
      <c r="V1043" s="341"/>
      <c r="W1043" s="341"/>
      <c r="X1043" s="341"/>
      <c r="Y1043" s="341"/>
      <c r="Z1043" s="341"/>
      <c r="AA1043" s="341"/>
      <c r="AB1043" s="341"/>
      <c r="AC1043" s="341"/>
      <c r="AD1043" s="341"/>
      <c r="AE1043" s="341"/>
      <c r="AF1043" s="341"/>
    </row>
    <row r="1044" spans="1:32" ht="15">
      <c r="A1044" s="341"/>
      <c r="B1044" s="365"/>
      <c r="C1044" s="365"/>
      <c r="D1044" s="366"/>
      <c r="E1044" s="366"/>
      <c r="F1044" s="367"/>
      <c r="G1044" s="367"/>
      <c r="H1044" s="366"/>
      <c r="I1044" s="366"/>
      <c r="J1044" s="368"/>
      <c r="K1044" s="368"/>
      <c r="L1044" s="341"/>
      <c r="M1044" s="341"/>
      <c r="N1044" s="341"/>
      <c r="O1044" s="341"/>
      <c r="P1044" s="341"/>
      <c r="Q1044" s="341"/>
      <c r="R1044" s="341"/>
      <c r="S1044" s="341"/>
      <c r="T1044" s="341"/>
      <c r="U1044" s="341"/>
      <c r="V1044" s="341"/>
      <c r="W1044" s="341"/>
      <c r="X1044" s="341"/>
      <c r="Y1044" s="341"/>
      <c r="Z1044" s="341"/>
      <c r="AA1044" s="341"/>
      <c r="AB1044" s="341"/>
      <c r="AC1044" s="341"/>
      <c r="AD1044" s="341"/>
      <c r="AE1044" s="341"/>
      <c r="AF1044" s="341"/>
    </row>
    <row r="1045" spans="1:32" ht="15">
      <c r="A1045" s="341"/>
      <c r="B1045" s="365"/>
      <c r="C1045" s="365"/>
      <c r="D1045" s="366"/>
      <c r="E1045" s="366"/>
      <c r="F1045" s="367"/>
      <c r="G1045" s="367"/>
      <c r="H1045" s="366"/>
      <c r="I1045" s="366"/>
      <c r="J1045" s="368"/>
      <c r="K1045" s="368"/>
      <c r="L1045" s="341"/>
      <c r="M1045" s="341"/>
      <c r="N1045" s="341"/>
      <c r="O1045" s="341"/>
      <c r="P1045" s="341"/>
      <c r="Q1045" s="341"/>
      <c r="R1045" s="341"/>
      <c r="S1045" s="341"/>
      <c r="T1045" s="341"/>
      <c r="U1045" s="341"/>
      <c r="V1045" s="341"/>
      <c r="W1045" s="341"/>
      <c r="X1045" s="341"/>
      <c r="Y1045" s="341"/>
      <c r="Z1045" s="341"/>
      <c r="AA1045" s="341"/>
      <c r="AB1045" s="341"/>
      <c r="AC1045" s="341"/>
      <c r="AD1045" s="341"/>
      <c r="AE1045" s="341"/>
      <c r="AF1045" s="341"/>
    </row>
    <row r="1046" spans="1:32" ht="15">
      <c r="A1046" s="341"/>
      <c r="B1046" s="365"/>
      <c r="C1046" s="365"/>
      <c r="D1046" s="366"/>
      <c r="E1046" s="366"/>
      <c r="F1046" s="367"/>
      <c r="G1046" s="367"/>
      <c r="H1046" s="366"/>
      <c r="I1046" s="366"/>
      <c r="J1046" s="368"/>
      <c r="K1046" s="368"/>
      <c r="L1046" s="341"/>
      <c r="M1046" s="341"/>
      <c r="N1046" s="341"/>
      <c r="O1046" s="341"/>
      <c r="P1046" s="341"/>
      <c r="Q1046" s="341"/>
      <c r="R1046" s="341"/>
      <c r="S1046" s="341"/>
      <c r="T1046" s="341"/>
      <c r="U1046" s="341"/>
      <c r="V1046" s="341"/>
      <c r="W1046" s="341"/>
      <c r="X1046" s="341"/>
      <c r="Y1046" s="341"/>
      <c r="Z1046" s="341"/>
      <c r="AA1046" s="341"/>
      <c r="AB1046" s="341"/>
      <c r="AC1046" s="341"/>
      <c r="AD1046" s="341"/>
      <c r="AE1046" s="341"/>
      <c r="AF1046" s="341"/>
    </row>
    <row r="1047" spans="1:32" ht="15">
      <c r="A1047" s="341"/>
      <c r="B1047" s="365"/>
      <c r="C1047" s="365"/>
      <c r="D1047" s="366"/>
      <c r="E1047" s="366"/>
      <c r="F1047" s="367"/>
      <c r="G1047" s="367"/>
      <c r="H1047" s="366"/>
      <c r="I1047" s="366"/>
      <c r="J1047" s="368"/>
      <c r="K1047" s="368"/>
      <c r="L1047" s="341"/>
      <c r="M1047" s="341"/>
      <c r="N1047" s="341"/>
      <c r="O1047" s="341"/>
      <c r="P1047" s="341"/>
      <c r="Q1047" s="341"/>
      <c r="R1047" s="341"/>
      <c r="S1047" s="341"/>
      <c r="T1047" s="341"/>
      <c r="U1047" s="341"/>
      <c r="V1047" s="341"/>
      <c r="W1047" s="341"/>
      <c r="X1047" s="341"/>
      <c r="Y1047" s="341"/>
      <c r="Z1047" s="341"/>
      <c r="AA1047" s="341"/>
      <c r="AB1047" s="341"/>
      <c r="AC1047" s="341"/>
      <c r="AD1047" s="341"/>
      <c r="AE1047" s="341"/>
      <c r="AF1047" s="341"/>
    </row>
    <row r="1048" spans="1:32" ht="15">
      <c r="A1048" s="341"/>
      <c r="B1048" s="365"/>
      <c r="C1048" s="365"/>
      <c r="D1048" s="366"/>
      <c r="E1048" s="366"/>
      <c r="F1048" s="367"/>
      <c r="G1048" s="367"/>
      <c r="H1048" s="366"/>
      <c r="I1048" s="366"/>
      <c r="J1048" s="368"/>
      <c r="K1048" s="368"/>
      <c r="L1048" s="341"/>
      <c r="M1048" s="341"/>
      <c r="N1048" s="341"/>
      <c r="O1048" s="341"/>
      <c r="P1048" s="341"/>
      <c r="Q1048" s="341"/>
      <c r="R1048" s="341"/>
      <c r="S1048" s="341"/>
      <c r="T1048" s="341"/>
      <c r="U1048" s="341"/>
      <c r="V1048" s="341"/>
      <c r="W1048" s="341"/>
      <c r="X1048" s="341"/>
      <c r="Y1048" s="341"/>
      <c r="Z1048" s="341"/>
      <c r="AA1048" s="341"/>
      <c r="AB1048" s="341"/>
      <c r="AC1048" s="341"/>
      <c r="AD1048" s="341"/>
      <c r="AE1048" s="341"/>
      <c r="AF1048" s="341"/>
    </row>
    <row r="1049" spans="1:32" ht="15">
      <c r="A1049" s="341"/>
      <c r="B1049" s="365"/>
      <c r="C1049" s="365"/>
      <c r="D1049" s="366"/>
      <c r="E1049" s="366"/>
      <c r="F1049" s="367"/>
      <c r="G1049" s="367"/>
      <c r="H1049" s="366"/>
      <c r="I1049" s="366"/>
      <c r="J1049" s="368"/>
      <c r="K1049" s="368"/>
      <c r="L1049" s="341"/>
      <c r="M1049" s="341"/>
      <c r="N1049" s="341"/>
      <c r="O1049" s="341"/>
      <c r="P1049" s="341"/>
      <c r="Q1049" s="341"/>
      <c r="R1049" s="341"/>
      <c r="S1049" s="341"/>
      <c r="T1049" s="341"/>
      <c r="U1049" s="341"/>
      <c r="V1049" s="341"/>
      <c r="W1049" s="341"/>
      <c r="X1049" s="341"/>
      <c r="Y1049" s="341"/>
      <c r="Z1049" s="341"/>
      <c r="AA1049" s="341"/>
      <c r="AB1049" s="341"/>
      <c r="AC1049" s="341"/>
      <c r="AD1049" s="341"/>
      <c r="AE1049" s="341"/>
      <c r="AF1049" s="341"/>
    </row>
    <row r="1050" spans="1:32" ht="15">
      <c r="A1050" s="341"/>
      <c r="B1050" s="365"/>
      <c r="C1050" s="365"/>
      <c r="D1050" s="366"/>
      <c r="E1050" s="366"/>
      <c r="F1050" s="367"/>
      <c r="G1050" s="367"/>
      <c r="H1050" s="366"/>
      <c r="I1050" s="366"/>
      <c r="J1050" s="368"/>
      <c r="K1050" s="368"/>
      <c r="L1050" s="341"/>
      <c r="M1050" s="341"/>
      <c r="N1050" s="341"/>
      <c r="O1050" s="341"/>
      <c r="P1050" s="341"/>
      <c r="Q1050" s="341"/>
      <c r="R1050" s="341"/>
      <c r="S1050" s="341"/>
      <c r="T1050" s="341"/>
      <c r="U1050" s="341"/>
      <c r="V1050" s="341"/>
      <c r="W1050" s="341"/>
      <c r="X1050" s="341"/>
      <c r="Y1050" s="341"/>
      <c r="Z1050" s="341"/>
      <c r="AA1050" s="341"/>
      <c r="AB1050" s="341"/>
      <c r="AC1050" s="341"/>
      <c r="AD1050" s="341"/>
      <c r="AE1050" s="341"/>
      <c r="AF1050" s="341"/>
    </row>
    <row r="1051" spans="1:32" ht="15">
      <c r="A1051" s="341"/>
      <c r="B1051" s="365"/>
      <c r="C1051" s="365"/>
      <c r="D1051" s="366"/>
      <c r="E1051" s="366"/>
      <c r="F1051" s="367"/>
      <c r="G1051" s="367"/>
      <c r="H1051" s="366"/>
      <c r="I1051" s="366"/>
      <c r="J1051" s="368"/>
      <c r="K1051" s="368"/>
      <c r="L1051" s="341"/>
      <c r="M1051" s="341"/>
      <c r="N1051" s="341"/>
      <c r="O1051" s="341"/>
      <c r="P1051" s="341"/>
      <c r="Q1051" s="341"/>
      <c r="R1051" s="341"/>
      <c r="S1051" s="341"/>
      <c r="T1051" s="341"/>
      <c r="U1051" s="341"/>
      <c r="V1051" s="341"/>
      <c r="W1051" s="341"/>
      <c r="X1051" s="341"/>
      <c r="Y1051" s="341"/>
      <c r="Z1051" s="341"/>
      <c r="AA1051" s="341"/>
      <c r="AB1051" s="341"/>
      <c r="AC1051" s="341"/>
      <c r="AD1051" s="341"/>
      <c r="AE1051" s="341"/>
      <c r="AF1051" s="341"/>
    </row>
    <row r="1052" spans="1:32" ht="15">
      <c r="A1052" s="341"/>
      <c r="B1052" s="365"/>
      <c r="C1052" s="365"/>
      <c r="D1052" s="366"/>
      <c r="E1052" s="366"/>
      <c r="F1052" s="367"/>
      <c r="G1052" s="367"/>
      <c r="H1052" s="366"/>
      <c r="I1052" s="366"/>
      <c r="J1052" s="368"/>
      <c r="K1052" s="368"/>
      <c r="L1052" s="341"/>
      <c r="M1052" s="341"/>
      <c r="N1052" s="341"/>
      <c r="O1052" s="341"/>
      <c r="P1052" s="341"/>
      <c r="Q1052" s="341"/>
      <c r="R1052" s="341"/>
      <c r="S1052" s="341"/>
      <c r="T1052" s="341"/>
      <c r="U1052" s="341"/>
      <c r="V1052" s="341"/>
      <c r="W1052" s="341"/>
      <c r="X1052" s="341"/>
      <c r="Y1052" s="341"/>
      <c r="Z1052" s="341"/>
      <c r="AA1052" s="341"/>
      <c r="AB1052" s="341"/>
      <c r="AC1052" s="341"/>
      <c r="AD1052" s="341"/>
      <c r="AE1052" s="341"/>
      <c r="AF1052" s="341"/>
    </row>
    <row r="1053" spans="1:32" ht="15">
      <c r="A1053" s="341"/>
      <c r="B1053" s="365"/>
      <c r="C1053" s="365"/>
      <c r="D1053" s="366"/>
      <c r="E1053" s="366"/>
      <c r="F1053" s="367"/>
      <c r="G1053" s="367"/>
      <c r="H1053" s="366"/>
      <c r="I1053" s="366"/>
      <c r="J1053" s="368"/>
      <c r="K1053" s="368"/>
      <c r="L1053" s="341"/>
      <c r="M1053" s="341"/>
      <c r="N1053" s="341"/>
      <c r="O1053" s="341"/>
      <c r="P1053" s="341"/>
      <c r="Q1053" s="341"/>
      <c r="R1053" s="341"/>
      <c r="S1053" s="341"/>
      <c r="T1053" s="341"/>
      <c r="U1053" s="341"/>
      <c r="V1053" s="341"/>
      <c r="W1053" s="341"/>
      <c r="X1053" s="341"/>
      <c r="Y1053" s="341"/>
      <c r="Z1053" s="341"/>
      <c r="AA1053" s="341"/>
      <c r="AB1053" s="341"/>
      <c r="AC1053" s="341"/>
      <c r="AD1053" s="341"/>
      <c r="AE1053" s="341"/>
      <c r="AF1053" s="341"/>
    </row>
    <row r="1054" spans="1:32" ht="15">
      <c r="A1054" s="341"/>
      <c r="B1054" s="365"/>
      <c r="C1054" s="365"/>
      <c r="D1054" s="366"/>
      <c r="E1054" s="366"/>
      <c r="F1054" s="367"/>
      <c r="G1054" s="367"/>
      <c r="H1054" s="366"/>
      <c r="I1054" s="366"/>
      <c r="J1054" s="368"/>
      <c r="K1054" s="368"/>
      <c r="L1054" s="341"/>
      <c r="M1054" s="341"/>
      <c r="N1054" s="341"/>
      <c r="O1054" s="341"/>
      <c r="P1054" s="341"/>
      <c r="Q1054" s="341"/>
      <c r="R1054" s="341"/>
      <c r="S1054" s="341"/>
      <c r="T1054" s="341"/>
      <c r="U1054" s="341"/>
      <c r="V1054" s="341"/>
      <c r="W1054" s="341"/>
      <c r="X1054" s="341"/>
      <c r="Y1054" s="341"/>
      <c r="Z1054" s="341"/>
      <c r="AA1054" s="341"/>
      <c r="AB1054" s="341"/>
      <c r="AC1054" s="341"/>
      <c r="AD1054" s="341"/>
      <c r="AE1054" s="341"/>
      <c r="AF1054" s="341"/>
    </row>
    <row r="1055" spans="1:32" ht="15">
      <c r="A1055" s="341"/>
      <c r="B1055" s="365"/>
      <c r="C1055" s="365"/>
      <c r="D1055" s="366"/>
      <c r="E1055" s="366"/>
      <c r="F1055" s="367"/>
      <c r="G1055" s="367"/>
      <c r="H1055" s="366"/>
      <c r="I1055" s="366"/>
      <c r="J1055" s="368"/>
      <c r="K1055" s="368"/>
      <c r="L1055" s="341"/>
      <c r="M1055" s="341"/>
      <c r="N1055" s="341"/>
      <c r="O1055" s="341"/>
      <c r="P1055" s="341"/>
      <c r="Q1055" s="341"/>
      <c r="R1055" s="341"/>
      <c r="S1055" s="341"/>
      <c r="T1055" s="341"/>
      <c r="U1055" s="341"/>
      <c r="V1055" s="341"/>
      <c r="W1055" s="341"/>
      <c r="X1055" s="341"/>
      <c r="Y1055" s="341"/>
      <c r="Z1055" s="341"/>
      <c r="AA1055" s="341"/>
      <c r="AB1055" s="341"/>
      <c r="AC1055" s="341"/>
      <c r="AD1055" s="341"/>
      <c r="AE1055" s="341"/>
      <c r="AF1055" s="341"/>
    </row>
    <row r="1056" spans="1:32" ht="15">
      <c r="A1056" s="341"/>
      <c r="B1056" s="365"/>
      <c r="C1056" s="365"/>
      <c r="D1056" s="366"/>
      <c r="E1056" s="366"/>
      <c r="F1056" s="367"/>
      <c r="G1056" s="367"/>
      <c r="H1056" s="366"/>
      <c r="I1056" s="366"/>
      <c r="J1056" s="368"/>
      <c r="K1056" s="368"/>
      <c r="L1056" s="341"/>
      <c r="M1056" s="341"/>
      <c r="N1056" s="341"/>
      <c r="O1056" s="341"/>
      <c r="P1056" s="341"/>
      <c r="Q1056" s="341"/>
      <c r="R1056" s="341"/>
      <c r="S1056" s="341"/>
      <c r="T1056" s="341"/>
      <c r="U1056" s="341"/>
      <c r="V1056" s="341"/>
      <c r="W1056" s="341"/>
      <c r="X1056" s="341"/>
      <c r="Y1056" s="341"/>
      <c r="Z1056" s="341"/>
      <c r="AA1056" s="341"/>
      <c r="AB1056" s="341"/>
      <c r="AC1056" s="341"/>
      <c r="AD1056" s="341"/>
      <c r="AE1056" s="341"/>
      <c r="AF1056" s="341"/>
    </row>
    <row r="1057" spans="1:32" ht="15">
      <c r="A1057" s="341"/>
      <c r="B1057" s="365"/>
      <c r="C1057" s="365"/>
      <c r="D1057" s="366"/>
      <c r="E1057" s="366"/>
      <c r="F1057" s="367"/>
      <c r="G1057" s="367"/>
      <c r="H1057" s="366"/>
      <c r="I1057" s="366"/>
      <c r="J1057" s="368"/>
      <c r="K1057" s="368"/>
      <c r="L1057" s="341"/>
      <c r="M1057" s="341"/>
      <c r="N1057" s="341"/>
      <c r="O1057" s="341"/>
      <c r="P1057" s="341"/>
      <c r="Q1057" s="341"/>
      <c r="R1057" s="341"/>
      <c r="S1057" s="341"/>
      <c r="T1057" s="341"/>
      <c r="U1057" s="341"/>
      <c r="V1057" s="341"/>
      <c r="W1057" s="341"/>
      <c r="X1057" s="341"/>
      <c r="Y1057" s="341"/>
      <c r="Z1057" s="341"/>
      <c r="AA1057" s="341"/>
      <c r="AB1057" s="341"/>
      <c r="AC1057" s="341"/>
      <c r="AD1057" s="341"/>
      <c r="AE1057" s="341"/>
      <c r="AF1057" s="341"/>
    </row>
    <row r="1058" spans="1:32" ht="15">
      <c r="A1058" s="341"/>
      <c r="B1058" s="365"/>
      <c r="C1058" s="365"/>
      <c r="D1058" s="366"/>
      <c r="E1058" s="366"/>
      <c r="F1058" s="367"/>
      <c r="G1058" s="367"/>
      <c r="H1058" s="366"/>
      <c r="I1058" s="366"/>
      <c r="J1058" s="368"/>
      <c r="K1058" s="368"/>
      <c r="L1058" s="341"/>
      <c r="M1058" s="341"/>
      <c r="N1058" s="341"/>
      <c r="O1058" s="341"/>
      <c r="P1058" s="341"/>
      <c r="Q1058" s="341"/>
      <c r="R1058" s="341"/>
      <c r="S1058" s="341"/>
      <c r="T1058" s="341"/>
      <c r="U1058" s="341"/>
      <c r="V1058" s="341"/>
      <c r="W1058" s="341"/>
      <c r="X1058" s="341"/>
      <c r="Y1058" s="341"/>
      <c r="Z1058" s="341"/>
      <c r="AA1058" s="341"/>
      <c r="AB1058" s="341"/>
      <c r="AC1058" s="341"/>
      <c r="AD1058" s="341"/>
      <c r="AE1058" s="341"/>
      <c r="AF1058" s="341"/>
    </row>
    <row r="1059" spans="1:32" ht="15">
      <c r="A1059" s="341"/>
      <c r="B1059" s="365"/>
      <c r="C1059" s="365"/>
      <c r="D1059" s="366"/>
      <c r="E1059" s="366"/>
      <c r="F1059" s="367"/>
      <c r="G1059" s="367"/>
      <c r="H1059" s="366"/>
      <c r="I1059" s="366"/>
      <c r="J1059" s="368"/>
      <c r="K1059" s="368"/>
      <c r="L1059" s="341"/>
      <c r="M1059" s="341"/>
      <c r="N1059" s="341"/>
      <c r="O1059" s="341"/>
      <c r="P1059" s="341"/>
      <c r="Q1059" s="341"/>
      <c r="R1059" s="341"/>
      <c r="S1059" s="341"/>
      <c r="T1059" s="341"/>
      <c r="U1059" s="341"/>
      <c r="V1059" s="341"/>
      <c r="W1059" s="341"/>
      <c r="X1059" s="341"/>
      <c r="Y1059" s="341"/>
      <c r="Z1059" s="341"/>
      <c r="AA1059" s="341"/>
      <c r="AB1059" s="341"/>
      <c r="AC1059" s="341"/>
      <c r="AD1059" s="341"/>
      <c r="AE1059" s="341"/>
      <c r="AF1059" s="341"/>
    </row>
    <row r="1060" spans="1:32" ht="15">
      <c r="A1060" s="341"/>
      <c r="B1060" s="365"/>
      <c r="C1060" s="365"/>
      <c r="D1060" s="366"/>
      <c r="E1060" s="366"/>
      <c r="F1060" s="367"/>
      <c r="G1060" s="367"/>
      <c r="H1060" s="366"/>
      <c r="I1060" s="366"/>
      <c r="J1060" s="368"/>
      <c r="K1060" s="368"/>
      <c r="L1060" s="341"/>
      <c r="M1060" s="341"/>
      <c r="N1060" s="341"/>
      <c r="O1060" s="341"/>
      <c r="P1060" s="341"/>
      <c r="Q1060" s="341"/>
      <c r="R1060" s="341"/>
      <c r="S1060" s="341"/>
      <c r="T1060" s="341"/>
      <c r="U1060" s="341"/>
      <c r="V1060" s="341"/>
      <c r="W1060" s="341"/>
      <c r="X1060" s="341"/>
      <c r="Y1060" s="341"/>
      <c r="Z1060" s="341"/>
      <c r="AA1060" s="341"/>
      <c r="AB1060" s="341"/>
      <c r="AC1060" s="341"/>
      <c r="AD1060" s="341"/>
      <c r="AE1060" s="341"/>
      <c r="AF1060" s="341"/>
    </row>
    <row r="1061" spans="1:32" ht="15">
      <c r="A1061" s="341"/>
      <c r="B1061" s="365"/>
      <c r="C1061" s="365"/>
      <c r="D1061" s="366"/>
      <c r="E1061" s="366"/>
      <c r="F1061" s="367"/>
      <c r="G1061" s="367"/>
      <c r="H1061" s="366"/>
      <c r="I1061" s="366"/>
      <c r="J1061" s="368"/>
      <c r="K1061" s="368"/>
      <c r="L1061" s="341"/>
      <c r="M1061" s="341"/>
      <c r="N1061" s="341"/>
      <c r="O1061" s="341"/>
      <c r="P1061" s="341"/>
      <c r="Q1061" s="341"/>
      <c r="R1061" s="341"/>
      <c r="S1061" s="341"/>
      <c r="T1061" s="341"/>
      <c r="U1061" s="341"/>
      <c r="V1061" s="341"/>
      <c r="W1061" s="341"/>
      <c r="X1061" s="341"/>
      <c r="Y1061" s="341"/>
      <c r="Z1061" s="341"/>
      <c r="AA1061" s="341"/>
      <c r="AB1061" s="341"/>
      <c r="AC1061" s="341"/>
      <c r="AD1061" s="341"/>
      <c r="AE1061" s="341"/>
      <c r="AF1061" s="341"/>
    </row>
    <row r="1062" spans="1:32" ht="15">
      <c r="A1062" s="341"/>
      <c r="B1062" s="365"/>
      <c r="C1062" s="365"/>
      <c r="D1062" s="366"/>
      <c r="E1062" s="366"/>
      <c r="F1062" s="367"/>
      <c r="G1062" s="367"/>
      <c r="H1062" s="366"/>
      <c r="I1062" s="366"/>
      <c r="J1062" s="368"/>
      <c r="K1062" s="368"/>
      <c r="L1062" s="341"/>
      <c r="M1062" s="341"/>
      <c r="N1062" s="341"/>
      <c r="O1062" s="341"/>
      <c r="P1062" s="341"/>
      <c r="Q1062" s="341"/>
      <c r="R1062" s="341"/>
      <c r="S1062" s="341"/>
      <c r="T1062" s="341"/>
      <c r="U1062" s="341"/>
      <c r="V1062" s="341"/>
      <c r="W1062" s="341"/>
      <c r="X1062" s="341"/>
      <c r="Y1062" s="341"/>
      <c r="Z1062" s="341"/>
      <c r="AA1062" s="341"/>
      <c r="AB1062" s="341"/>
      <c r="AC1062" s="341"/>
      <c r="AD1062" s="341"/>
      <c r="AE1062" s="341"/>
      <c r="AF1062" s="341"/>
    </row>
    <row r="1063" spans="1:32" ht="15">
      <c r="A1063" s="341"/>
      <c r="B1063" s="365"/>
      <c r="C1063" s="365"/>
      <c r="D1063" s="366"/>
      <c r="E1063" s="366"/>
      <c r="F1063" s="367"/>
      <c r="G1063" s="367"/>
      <c r="H1063" s="366"/>
      <c r="I1063" s="366"/>
      <c r="J1063" s="368"/>
      <c r="K1063" s="368"/>
      <c r="L1063" s="341"/>
      <c r="M1063" s="341"/>
      <c r="N1063" s="341"/>
      <c r="O1063" s="341"/>
      <c r="P1063" s="341"/>
      <c r="Q1063" s="341"/>
      <c r="R1063" s="341"/>
      <c r="S1063" s="341"/>
      <c r="T1063" s="341"/>
      <c r="U1063" s="341"/>
      <c r="V1063" s="341"/>
      <c r="W1063" s="341"/>
      <c r="X1063" s="341"/>
      <c r="Y1063" s="341"/>
      <c r="Z1063" s="341"/>
      <c r="AA1063" s="341"/>
      <c r="AB1063" s="341"/>
      <c r="AC1063" s="341"/>
      <c r="AD1063" s="341"/>
      <c r="AE1063" s="341"/>
      <c r="AF1063" s="341"/>
    </row>
    <row r="1064" spans="1:32" ht="15">
      <c r="A1064" s="341"/>
      <c r="B1064" s="365"/>
      <c r="C1064" s="365"/>
      <c r="D1064" s="366"/>
      <c r="E1064" s="366"/>
      <c r="F1064" s="367"/>
      <c r="G1064" s="367"/>
      <c r="H1064" s="366"/>
      <c r="I1064" s="366"/>
      <c r="J1064" s="368"/>
      <c r="K1064" s="368"/>
      <c r="L1064" s="341"/>
      <c r="M1064" s="341"/>
      <c r="N1064" s="341"/>
      <c r="O1064" s="341"/>
      <c r="P1064" s="341"/>
      <c r="Q1064" s="341"/>
      <c r="R1064" s="341"/>
      <c r="S1064" s="341"/>
      <c r="T1064" s="341"/>
      <c r="U1064" s="341"/>
      <c r="V1064" s="341"/>
      <c r="W1064" s="341"/>
      <c r="X1064" s="341"/>
      <c r="Y1064" s="341"/>
      <c r="Z1064" s="341"/>
      <c r="AA1064" s="341"/>
      <c r="AB1064" s="341"/>
      <c r="AC1064" s="341"/>
      <c r="AD1064" s="341"/>
      <c r="AE1064" s="341"/>
      <c r="AF1064" s="341"/>
    </row>
    <row r="1065" spans="1:32" ht="15">
      <c r="A1065" s="341"/>
      <c r="B1065" s="365"/>
      <c r="C1065" s="365"/>
      <c r="D1065" s="366"/>
      <c r="E1065" s="366"/>
      <c r="F1065" s="367"/>
      <c r="G1065" s="367"/>
      <c r="H1065" s="366"/>
      <c r="I1065" s="366"/>
      <c r="J1065" s="368"/>
      <c r="K1065" s="368"/>
      <c r="L1065" s="341"/>
      <c r="M1065" s="341"/>
      <c r="N1065" s="341"/>
      <c r="O1065" s="341"/>
      <c r="P1065" s="341"/>
      <c r="Q1065" s="341"/>
      <c r="R1065" s="341"/>
      <c r="S1065" s="341"/>
      <c r="T1065" s="341"/>
      <c r="U1065" s="341"/>
      <c r="V1065" s="341"/>
      <c r="W1065" s="341"/>
      <c r="X1065" s="341"/>
      <c r="Y1065" s="341"/>
      <c r="Z1065" s="341"/>
      <c r="AA1065" s="341"/>
      <c r="AB1065" s="341"/>
      <c r="AC1065" s="341"/>
      <c r="AD1065" s="341"/>
      <c r="AE1065" s="341"/>
      <c r="AF1065" s="341"/>
    </row>
    <row r="1066" spans="1:32" ht="15">
      <c r="A1066" s="341"/>
      <c r="B1066" s="365"/>
      <c r="C1066" s="365"/>
      <c r="D1066" s="366"/>
      <c r="E1066" s="366"/>
      <c r="F1066" s="367"/>
      <c r="G1066" s="367"/>
      <c r="H1066" s="366"/>
      <c r="I1066" s="366"/>
      <c r="J1066" s="368"/>
      <c r="K1066" s="368"/>
      <c r="L1066" s="341"/>
      <c r="M1066" s="341"/>
      <c r="N1066" s="341"/>
      <c r="O1066" s="341"/>
      <c r="P1066" s="341"/>
      <c r="Q1066" s="341"/>
      <c r="R1066" s="341"/>
      <c r="S1066" s="341"/>
      <c r="T1066" s="341"/>
      <c r="U1066" s="341"/>
      <c r="V1066" s="341"/>
      <c r="W1066" s="341"/>
      <c r="X1066" s="341"/>
      <c r="Y1066" s="341"/>
      <c r="Z1066" s="341"/>
      <c r="AA1066" s="341"/>
      <c r="AB1066" s="341"/>
      <c r="AC1066" s="341"/>
      <c r="AD1066" s="341"/>
      <c r="AE1066" s="341"/>
      <c r="AF1066" s="341"/>
    </row>
    <row r="1067" spans="1:32" ht="15">
      <c r="A1067" s="341"/>
      <c r="B1067" s="365"/>
      <c r="C1067" s="365"/>
      <c r="D1067" s="366"/>
      <c r="E1067" s="366"/>
      <c r="F1067" s="367"/>
      <c r="G1067" s="367"/>
      <c r="H1067" s="366"/>
      <c r="I1067" s="366"/>
      <c r="J1067" s="368"/>
      <c r="K1067" s="368"/>
      <c r="L1067" s="341"/>
      <c r="M1067" s="341"/>
      <c r="N1067" s="341"/>
      <c r="O1067" s="341"/>
      <c r="P1067" s="341"/>
      <c r="Q1067" s="341"/>
      <c r="R1067" s="341"/>
      <c r="S1067" s="341"/>
      <c r="T1067" s="341"/>
      <c r="U1067" s="341"/>
      <c r="V1067" s="341"/>
      <c r="W1067" s="341"/>
      <c r="X1067" s="341"/>
      <c r="Y1067" s="341"/>
      <c r="Z1067" s="341"/>
      <c r="AA1067" s="341"/>
      <c r="AB1067" s="341"/>
      <c r="AC1067" s="341"/>
      <c r="AD1067" s="341"/>
      <c r="AE1067" s="341"/>
      <c r="AF1067" s="341"/>
    </row>
    <row r="1068" spans="1:32" ht="15">
      <c r="A1068" s="341"/>
      <c r="B1068" s="365"/>
      <c r="C1068" s="365"/>
      <c r="D1068" s="366"/>
      <c r="E1068" s="366"/>
      <c r="F1068" s="367"/>
      <c r="G1068" s="367"/>
      <c r="H1068" s="366"/>
      <c r="I1068" s="366"/>
      <c r="J1068" s="368"/>
      <c r="K1068" s="368"/>
      <c r="L1068" s="341"/>
      <c r="M1068" s="341"/>
      <c r="N1068" s="341"/>
      <c r="O1068" s="341"/>
      <c r="P1068" s="341"/>
      <c r="Q1068" s="341"/>
      <c r="R1068" s="341"/>
      <c r="S1068" s="341"/>
      <c r="T1068" s="341"/>
      <c r="U1068" s="341"/>
      <c r="V1068" s="341"/>
      <c r="W1068" s="341"/>
      <c r="X1068" s="341"/>
      <c r="Y1068" s="341"/>
      <c r="Z1068" s="341"/>
      <c r="AA1068" s="341"/>
      <c r="AB1068" s="341"/>
      <c r="AC1068" s="341"/>
      <c r="AD1068" s="341"/>
      <c r="AE1068" s="341"/>
      <c r="AF1068" s="341"/>
    </row>
    <row r="1069" spans="1:32" ht="15">
      <c r="A1069" s="341"/>
      <c r="B1069" s="365"/>
      <c r="C1069" s="365"/>
      <c r="D1069" s="366"/>
      <c r="E1069" s="366"/>
      <c r="F1069" s="367"/>
      <c r="G1069" s="367"/>
      <c r="H1069" s="366"/>
      <c r="I1069" s="366"/>
      <c r="J1069" s="368"/>
      <c r="K1069" s="368"/>
      <c r="L1069" s="341"/>
      <c r="M1069" s="341"/>
      <c r="N1069" s="341"/>
      <c r="O1069" s="341"/>
      <c r="P1069" s="341"/>
      <c r="Q1069" s="341"/>
      <c r="R1069" s="341"/>
      <c r="S1069" s="341"/>
      <c r="T1069" s="341"/>
      <c r="U1069" s="341"/>
      <c r="V1069" s="341"/>
      <c r="W1069" s="341"/>
      <c r="X1069" s="341"/>
      <c r="Y1069" s="341"/>
      <c r="Z1069" s="341"/>
      <c r="AA1069" s="341"/>
      <c r="AB1069" s="341"/>
      <c r="AC1069" s="341"/>
      <c r="AD1069" s="341"/>
      <c r="AE1069" s="341"/>
      <c r="AF1069" s="341"/>
    </row>
    <row r="1070" spans="1:32" ht="15">
      <c r="A1070" s="341"/>
      <c r="B1070" s="365"/>
      <c r="C1070" s="365"/>
      <c r="D1070" s="366"/>
      <c r="E1070" s="366"/>
      <c r="F1070" s="367"/>
      <c r="G1070" s="367"/>
      <c r="H1070" s="366"/>
      <c r="I1070" s="366"/>
      <c r="J1070" s="368"/>
      <c r="K1070" s="368"/>
      <c r="L1070" s="341"/>
      <c r="M1070" s="341"/>
      <c r="N1070" s="341"/>
      <c r="O1070" s="341"/>
      <c r="P1070" s="341"/>
      <c r="Q1070" s="341"/>
      <c r="R1070" s="341"/>
      <c r="S1070" s="341"/>
      <c r="T1070" s="341"/>
      <c r="U1070" s="341"/>
      <c r="V1070" s="341"/>
      <c r="W1070" s="341"/>
      <c r="X1070" s="341"/>
      <c r="Y1070" s="341"/>
      <c r="Z1070" s="341"/>
      <c r="AA1070" s="341"/>
      <c r="AB1070" s="341"/>
      <c r="AC1070" s="341"/>
      <c r="AD1070" s="341"/>
      <c r="AE1070" s="341"/>
      <c r="AF1070" s="341"/>
    </row>
    <row r="1071" spans="1:32" ht="15">
      <c r="A1071" s="341"/>
      <c r="B1071" s="365"/>
      <c r="C1071" s="365"/>
      <c r="D1071" s="366"/>
      <c r="E1071" s="366"/>
      <c r="F1071" s="367"/>
      <c r="G1071" s="367"/>
      <c r="H1071" s="366"/>
      <c r="I1071" s="366"/>
      <c r="J1071" s="368"/>
      <c r="K1071" s="368"/>
      <c r="L1071" s="341"/>
      <c r="M1071" s="341"/>
      <c r="N1071" s="341"/>
      <c r="O1071" s="341"/>
      <c r="P1071" s="341"/>
      <c r="Q1071" s="341"/>
      <c r="R1071" s="341"/>
      <c r="S1071" s="341"/>
      <c r="T1071" s="341"/>
      <c r="U1071" s="341"/>
      <c r="V1071" s="341"/>
      <c r="W1071" s="341"/>
      <c r="X1071" s="341"/>
      <c r="Y1071" s="341"/>
      <c r="Z1071" s="341"/>
      <c r="AA1071" s="341"/>
      <c r="AB1071" s="341"/>
      <c r="AC1071" s="341"/>
      <c r="AD1071" s="341"/>
      <c r="AE1071" s="341"/>
      <c r="AF1071" s="341"/>
    </row>
    <row r="1072" spans="1:32" ht="15">
      <c r="A1072" s="341"/>
      <c r="B1072" s="365"/>
      <c r="C1072" s="365"/>
      <c r="D1072" s="366"/>
      <c r="E1072" s="366"/>
      <c r="F1072" s="367"/>
      <c r="G1072" s="367"/>
      <c r="H1072" s="366"/>
      <c r="I1072" s="366"/>
      <c r="J1072" s="368"/>
      <c r="K1072" s="368"/>
      <c r="L1072" s="341"/>
      <c r="M1072" s="341"/>
      <c r="N1072" s="341"/>
      <c r="O1072" s="341"/>
      <c r="P1072" s="341"/>
      <c r="Q1072" s="341"/>
      <c r="R1072" s="341"/>
      <c r="S1072" s="341"/>
      <c r="T1072" s="341"/>
      <c r="U1072" s="341"/>
      <c r="V1072" s="341"/>
      <c r="W1072" s="341"/>
      <c r="X1072" s="341"/>
      <c r="Y1072" s="341"/>
      <c r="Z1072" s="341"/>
      <c r="AA1072" s="341"/>
      <c r="AB1072" s="341"/>
      <c r="AC1072" s="341"/>
      <c r="AD1072" s="341"/>
      <c r="AE1072" s="341"/>
      <c r="AF1072" s="341"/>
    </row>
    <row r="1073" spans="1:32" ht="15">
      <c r="A1073" s="341"/>
      <c r="B1073" s="365"/>
      <c r="C1073" s="365"/>
      <c r="D1073" s="366"/>
      <c r="E1073" s="366"/>
      <c r="F1073" s="367"/>
      <c r="G1073" s="367"/>
      <c r="H1073" s="366"/>
      <c r="I1073" s="366"/>
      <c r="J1073" s="368"/>
      <c r="K1073" s="368"/>
      <c r="L1073" s="341"/>
      <c r="M1073" s="341"/>
      <c r="N1073" s="341"/>
      <c r="O1073" s="341"/>
      <c r="P1073" s="341"/>
      <c r="Q1073" s="341"/>
      <c r="R1073" s="341"/>
      <c r="S1073" s="341"/>
      <c r="T1073" s="341"/>
      <c r="U1073" s="341"/>
      <c r="V1073" s="341"/>
      <c r="W1073" s="341"/>
      <c r="X1073" s="341"/>
      <c r="Y1073" s="341"/>
      <c r="Z1073" s="341"/>
      <c r="AA1073" s="341"/>
      <c r="AB1073" s="341"/>
      <c r="AC1073" s="341"/>
      <c r="AD1073" s="341"/>
      <c r="AE1073" s="341"/>
      <c r="AF1073" s="341"/>
    </row>
    <row r="1074" spans="1:32" ht="15">
      <c r="A1074" s="341"/>
      <c r="B1074" s="365"/>
      <c r="C1074" s="365"/>
      <c r="D1074" s="366"/>
      <c r="E1074" s="366"/>
      <c r="F1074" s="367"/>
      <c r="G1074" s="367"/>
      <c r="H1074" s="366"/>
      <c r="I1074" s="366"/>
      <c r="J1074" s="368"/>
      <c r="K1074" s="368"/>
      <c r="L1074" s="341"/>
      <c r="M1074" s="341"/>
      <c r="N1074" s="341"/>
      <c r="O1074" s="341"/>
      <c r="P1074" s="341"/>
      <c r="Q1074" s="341"/>
      <c r="R1074" s="341"/>
      <c r="S1074" s="341"/>
      <c r="T1074" s="341"/>
      <c r="U1074" s="341"/>
      <c r="V1074" s="341"/>
      <c r="W1074" s="341"/>
      <c r="X1074" s="341"/>
      <c r="Y1074" s="341"/>
      <c r="Z1074" s="341"/>
      <c r="AA1074" s="341"/>
      <c r="AB1074" s="341"/>
      <c r="AC1074" s="341"/>
      <c r="AD1074" s="341"/>
      <c r="AE1074" s="341"/>
      <c r="AF1074" s="341"/>
    </row>
    <row r="1075" spans="1:32" ht="15">
      <c r="A1075" s="341"/>
      <c r="B1075" s="365"/>
      <c r="C1075" s="365"/>
      <c r="D1075" s="366"/>
      <c r="E1075" s="366"/>
      <c r="F1075" s="367"/>
      <c r="G1075" s="367"/>
      <c r="H1075" s="366"/>
      <c r="I1075" s="366"/>
      <c r="J1075" s="368"/>
      <c r="K1075" s="368"/>
      <c r="L1075" s="341"/>
      <c r="M1075" s="341"/>
      <c r="N1075" s="341"/>
      <c r="O1075" s="341"/>
      <c r="P1075" s="341"/>
      <c r="Q1075" s="341"/>
      <c r="R1075" s="341"/>
      <c r="S1075" s="341"/>
      <c r="T1075" s="341"/>
      <c r="U1075" s="341"/>
      <c r="V1075" s="341"/>
      <c r="W1075" s="341"/>
      <c r="X1075" s="341"/>
      <c r="Y1075" s="341"/>
      <c r="Z1075" s="341"/>
      <c r="AA1075" s="341"/>
      <c r="AB1075" s="341"/>
      <c r="AC1075" s="341"/>
      <c r="AD1075" s="341"/>
      <c r="AE1075" s="341"/>
      <c r="AF1075" s="341"/>
    </row>
    <row r="1076" spans="1:32" ht="15">
      <c r="A1076" s="341"/>
      <c r="B1076" s="365"/>
      <c r="C1076" s="365"/>
      <c r="D1076" s="366"/>
      <c r="E1076" s="366"/>
      <c r="F1076" s="367"/>
      <c r="G1076" s="367"/>
      <c r="H1076" s="366"/>
      <c r="I1076" s="366"/>
      <c r="J1076" s="368"/>
      <c r="K1076" s="368"/>
      <c r="L1076" s="341"/>
      <c r="M1076" s="341"/>
      <c r="N1076" s="341"/>
      <c r="O1076" s="341"/>
      <c r="P1076" s="341"/>
      <c r="Q1076" s="341"/>
      <c r="R1076" s="341"/>
      <c r="S1076" s="341"/>
      <c r="T1076" s="341"/>
      <c r="U1076" s="341"/>
      <c r="V1076" s="341"/>
      <c r="W1076" s="341"/>
      <c r="X1076" s="341"/>
      <c r="Y1076" s="341"/>
      <c r="Z1076" s="341"/>
      <c r="AA1076" s="341"/>
      <c r="AB1076" s="341"/>
      <c r="AC1076" s="341"/>
      <c r="AD1076" s="341"/>
      <c r="AE1076" s="341"/>
      <c r="AF1076" s="341"/>
    </row>
    <row r="1077" spans="1:32" ht="15">
      <c r="A1077" s="341"/>
      <c r="B1077" s="365"/>
      <c r="C1077" s="365"/>
      <c r="D1077" s="366"/>
      <c r="E1077" s="366"/>
      <c r="F1077" s="367"/>
      <c r="G1077" s="367"/>
      <c r="H1077" s="366"/>
      <c r="I1077" s="366"/>
      <c r="J1077" s="368"/>
      <c r="K1077" s="368"/>
      <c r="L1077" s="341"/>
      <c r="M1077" s="341"/>
      <c r="N1077" s="341"/>
      <c r="O1077" s="341"/>
      <c r="P1077" s="341"/>
      <c r="Q1077" s="341"/>
      <c r="R1077" s="341"/>
      <c r="S1077" s="341"/>
      <c r="T1077" s="341"/>
      <c r="U1077" s="341"/>
      <c r="V1077" s="341"/>
      <c r="W1077" s="341"/>
      <c r="X1077" s="341"/>
      <c r="Y1077" s="341"/>
      <c r="Z1077" s="341"/>
      <c r="AA1077" s="341"/>
      <c r="AB1077" s="341"/>
      <c r="AC1077" s="341"/>
      <c r="AD1077" s="341"/>
      <c r="AE1077" s="341"/>
      <c r="AF1077" s="341"/>
    </row>
    <row r="1078" spans="1:32" ht="15">
      <c r="A1078" s="341"/>
      <c r="B1078" s="365"/>
      <c r="C1078" s="365"/>
      <c r="D1078" s="366"/>
      <c r="E1078" s="366"/>
      <c r="F1078" s="367"/>
      <c r="G1078" s="367"/>
      <c r="H1078" s="366"/>
      <c r="I1078" s="366"/>
      <c r="J1078" s="368"/>
      <c r="K1078" s="368"/>
      <c r="L1078" s="341"/>
      <c r="M1078" s="341"/>
      <c r="N1078" s="341"/>
      <c r="O1078" s="341"/>
      <c r="P1078" s="341"/>
      <c r="Q1078" s="341"/>
      <c r="R1078" s="341"/>
      <c r="S1078" s="341"/>
      <c r="T1078" s="341"/>
      <c r="U1078" s="341"/>
      <c r="V1078" s="341"/>
      <c r="W1078" s="341"/>
      <c r="X1078" s="341"/>
      <c r="Y1078" s="341"/>
      <c r="Z1078" s="341"/>
      <c r="AA1078" s="341"/>
      <c r="AB1078" s="341"/>
      <c r="AC1078" s="341"/>
      <c r="AD1078" s="341"/>
      <c r="AE1078" s="341"/>
      <c r="AF1078" s="341"/>
    </row>
    <row r="1079" spans="1:32" ht="15">
      <c r="A1079" s="341"/>
      <c r="B1079" s="365"/>
      <c r="C1079" s="365"/>
      <c r="D1079" s="366"/>
      <c r="E1079" s="366"/>
      <c r="F1079" s="367"/>
      <c r="G1079" s="367"/>
      <c r="H1079" s="366"/>
      <c r="I1079" s="366"/>
      <c r="J1079" s="368"/>
      <c r="K1079" s="368"/>
      <c r="L1079" s="341"/>
      <c r="M1079" s="341"/>
      <c r="N1079" s="341"/>
      <c r="O1079" s="341"/>
      <c r="P1079" s="341"/>
      <c r="Q1079" s="341"/>
      <c r="R1079" s="341"/>
      <c r="S1079" s="341"/>
      <c r="T1079" s="341"/>
      <c r="U1079" s="341"/>
      <c r="V1079" s="341"/>
      <c r="W1079" s="341"/>
      <c r="X1079" s="341"/>
      <c r="Y1079" s="341"/>
      <c r="Z1079" s="341"/>
      <c r="AA1079" s="341"/>
      <c r="AB1079" s="341"/>
      <c r="AC1079" s="341"/>
      <c r="AD1079" s="341"/>
      <c r="AE1079" s="341"/>
      <c r="AF1079" s="341"/>
    </row>
    <row r="1080" spans="1:32" ht="15">
      <c r="A1080" s="341"/>
      <c r="B1080" s="365"/>
      <c r="C1080" s="365"/>
      <c r="D1080" s="366"/>
      <c r="E1080" s="366"/>
      <c r="F1080" s="367"/>
      <c r="G1080" s="367"/>
      <c r="H1080" s="366"/>
      <c r="I1080" s="366"/>
      <c r="J1080" s="368"/>
      <c r="K1080" s="368"/>
      <c r="L1080" s="341"/>
      <c r="M1080" s="341"/>
      <c r="N1080" s="341"/>
      <c r="O1080" s="341"/>
      <c r="P1080" s="341"/>
      <c r="Q1080" s="341"/>
      <c r="R1080" s="341"/>
      <c r="S1080" s="341"/>
      <c r="T1080" s="341"/>
      <c r="U1080" s="341"/>
      <c r="V1080" s="341"/>
      <c r="W1080" s="341"/>
      <c r="X1080" s="341"/>
      <c r="Y1080" s="341"/>
      <c r="Z1080" s="341"/>
      <c r="AA1080" s="341"/>
      <c r="AB1080" s="341"/>
      <c r="AC1080" s="341"/>
      <c r="AD1080" s="341"/>
      <c r="AE1080" s="341"/>
      <c r="AF1080" s="341"/>
    </row>
    <row r="1081" spans="1:32" ht="15">
      <c r="A1081" s="341"/>
      <c r="B1081" s="365"/>
      <c r="C1081" s="365"/>
      <c r="D1081" s="366"/>
      <c r="E1081" s="366"/>
      <c r="F1081" s="367"/>
      <c r="G1081" s="367"/>
      <c r="H1081" s="366"/>
      <c r="I1081" s="366"/>
      <c r="J1081" s="368"/>
      <c r="K1081" s="368"/>
      <c r="L1081" s="341"/>
      <c r="M1081" s="341"/>
      <c r="N1081" s="341"/>
      <c r="O1081" s="341"/>
      <c r="P1081" s="341"/>
      <c r="Q1081" s="341"/>
      <c r="R1081" s="341"/>
      <c r="S1081" s="341"/>
      <c r="T1081" s="341"/>
      <c r="U1081" s="341"/>
      <c r="V1081" s="341"/>
      <c r="W1081" s="341"/>
      <c r="X1081" s="341"/>
      <c r="Y1081" s="341"/>
      <c r="Z1081" s="341"/>
      <c r="AA1081" s="341"/>
      <c r="AB1081" s="341"/>
      <c r="AC1081" s="341"/>
      <c r="AD1081" s="341"/>
      <c r="AE1081" s="341"/>
      <c r="AF1081" s="341"/>
    </row>
    <row r="1082" spans="1:32" ht="15">
      <c r="A1082" s="341"/>
      <c r="B1082" s="365"/>
      <c r="C1082" s="365"/>
      <c r="D1082" s="366"/>
      <c r="E1082" s="366"/>
      <c r="F1082" s="367"/>
      <c r="G1082" s="367"/>
      <c r="H1082" s="366"/>
      <c r="I1082" s="366"/>
      <c r="J1082" s="368"/>
      <c r="K1082" s="368"/>
      <c r="L1082" s="341"/>
      <c r="M1082" s="341"/>
      <c r="N1082" s="341"/>
      <c r="O1082" s="341"/>
      <c r="P1082" s="341"/>
      <c r="Q1082" s="341"/>
      <c r="R1082" s="341"/>
      <c r="S1082" s="341"/>
      <c r="T1082" s="341"/>
      <c r="U1082" s="341"/>
      <c r="V1082" s="341"/>
      <c r="W1082" s="341"/>
      <c r="X1082" s="341"/>
      <c r="Y1082" s="341"/>
      <c r="Z1082" s="341"/>
      <c r="AA1082" s="341"/>
      <c r="AB1082" s="341"/>
      <c r="AC1082" s="341"/>
      <c r="AD1082" s="341"/>
      <c r="AE1082" s="341"/>
      <c r="AF1082" s="341"/>
    </row>
    <row r="1083" spans="1:32" ht="15">
      <c r="A1083" s="341"/>
      <c r="B1083" s="365"/>
      <c r="C1083" s="365"/>
      <c r="D1083" s="366"/>
      <c r="E1083" s="366"/>
      <c r="F1083" s="367"/>
      <c r="G1083" s="367"/>
      <c r="H1083" s="366"/>
      <c r="I1083" s="366"/>
      <c r="J1083" s="368"/>
      <c r="K1083" s="368"/>
      <c r="L1083" s="341"/>
      <c r="M1083" s="341"/>
      <c r="N1083" s="341"/>
      <c r="O1083" s="341"/>
      <c r="P1083" s="341"/>
      <c r="Q1083" s="341"/>
      <c r="R1083" s="341"/>
      <c r="S1083" s="341"/>
      <c r="T1083" s="341"/>
      <c r="U1083" s="341"/>
      <c r="V1083" s="341"/>
      <c r="W1083" s="341"/>
      <c r="X1083" s="341"/>
      <c r="Y1083" s="341"/>
      <c r="Z1083" s="341"/>
      <c r="AA1083" s="341"/>
      <c r="AB1083" s="341"/>
      <c r="AC1083" s="341"/>
      <c r="AD1083" s="341"/>
      <c r="AE1083" s="341"/>
      <c r="AF1083" s="341"/>
    </row>
    <row r="1084" spans="1:32" ht="15">
      <c r="A1084" s="341"/>
      <c r="B1084" s="365"/>
      <c r="C1084" s="365"/>
      <c r="D1084" s="366"/>
      <c r="E1084" s="366"/>
      <c r="F1084" s="367"/>
      <c r="G1084" s="367"/>
      <c r="H1084" s="366"/>
      <c r="I1084" s="366"/>
      <c r="J1084" s="368"/>
      <c r="K1084" s="368"/>
      <c r="L1084" s="341"/>
      <c r="M1084" s="341"/>
      <c r="N1084" s="341"/>
      <c r="O1084" s="341"/>
      <c r="P1084" s="341"/>
      <c r="Q1084" s="341"/>
      <c r="R1084" s="341"/>
      <c r="S1084" s="341"/>
      <c r="T1084" s="341"/>
      <c r="U1084" s="341"/>
      <c r="V1084" s="341"/>
      <c r="W1084" s="341"/>
      <c r="X1084" s="341"/>
      <c r="Y1084" s="341"/>
      <c r="Z1084" s="341"/>
      <c r="AA1084" s="341"/>
      <c r="AB1084" s="341"/>
      <c r="AC1084" s="341"/>
      <c r="AD1084" s="341"/>
      <c r="AE1084" s="341"/>
      <c r="AF1084" s="341"/>
    </row>
    <row r="1085" spans="1:32" ht="15">
      <c r="A1085" s="341"/>
      <c r="B1085" s="365"/>
      <c r="C1085" s="365"/>
      <c r="D1085" s="366"/>
      <c r="E1085" s="366"/>
      <c r="F1085" s="367"/>
      <c r="G1085" s="367"/>
      <c r="H1085" s="366"/>
      <c r="I1085" s="366"/>
      <c r="J1085" s="368"/>
      <c r="K1085" s="368"/>
      <c r="L1085" s="341"/>
      <c r="M1085" s="341"/>
      <c r="N1085" s="341"/>
      <c r="O1085" s="341"/>
      <c r="P1085" s="341"/>
      <c r="Q1085" s="341"/>
      <c r="R1085" s="341"/>
      <c r="S1085" s="341"/>
      <c r="T1085" s="341"/>
      <c r="U1085" s="341"/>
      <c r="V1085" s="341"/>
      <c r="W1085" s="341"/>
      <c r="X1085" s="341"/>
      <c r="Y1085" s="341"/>
      <c r="Z1085" s="341"/>
      <c r="AA1085" s="341"/>
      <c r="AB1085" s="341"/>
      <c r="AC1085" s="341"/>
      <c r="AD1085" s="341"/>
      <c r="AE1085" s="341"/>
      <c r="AF1085" s="341"/>
    </row>
    <row r="1086" spans="1:32" ht="15">
      <c r="A1086" s="341"/>
      <c r="B1086" s="365"/>
      <c r="C1086" s="365"/>
      <c r="D1086" s="366"/>
      <c r="E1086" s="366"/>
      <c r="F1086" s="367"/>
      <c r="G1086" s="367"/>
      <c r="H1086" s="366"/>
      <c r="I1086" s="366"/>
      <c r="J1086" s="368"/>
      <c r="K1086" s="368"/>
      <c r="L1086" s="341"/>
      <c r="M1086" s="341"/>
      <c r="N1086" s="341"/>
      <c r="O1086" s="341"/>
      <c r="P1086" s="341"/>
      <c r="Q1086" s="341"/>
      <c r="R1086" s="341"/>
      <c r="S1086" s="341"/>
      <c r="T1086" s="341"/>
      <c r="U1086" s="341"/>
      <c r="V1086" s="341"/>
      <c r="W1086" s="341"/>
      <c r="X1086" s="341"/>
      <c r="Y1086" s="341"/>
      <c r="Z1086" s="341"/>
      <c r="AA1086" s="341"/>
      <c r="AB1086" s="341"/>
      <c r="AC1086" s="341"/>
      <c r="AD1086" s="341"/>
      <c r="AE1086" s="341"/>
      <c r="AF1086" s="341"/>
    </row>
    <row r="1087" spans="1:32" ht="15">
      <c r="A1087" s="341"/>
      <c r="B1087" s="365"/>
      <c r="C1087" s="365"/>
      <c r="D1087" s="366"/>
      <c r="E1087" s="366"/>
      <c r="F1087" s="367"/>
      <c r="G1087" s="367"/>
      <c r="H1087" s="366"/>
      <c r="I1087" s="366"/>
      <c r="J1087" s="368"/>
      <c r="K1087" s="368"/>
      <c r="L1087" s="341"/>
      <c r="M1087" s="341"/>
      <c r="N1087" s="341"/>
      <c r="O1087" s="341"/>
      <c r="P1087" s="341"/>
      <c r="Q1087" s="341"/>
      <c r="R1087" s="341"/>
      <c r="S1087" s="341"/>
      <c r="T1087" s="341"/>
      <c r="U1087" s="341"/>
      <c r="V1087" s="341"/>
      <c r="W1087" s="341"/>
      <c r="X1087" s="341"/>
      <c r="Y1087" s="341"/>
      <c r="Z1087" s="341"/>
      <c r="AA1087" s="341"/>
      <c r="AB1087" s="341"/>
      <c r="AC1087" s="341"/>
      <c r="AD1087" s="341"/>
      <c r="AE1087" s="341"/>
      <c r="AF1087" s="341"/>
    </row>
    <row r="1088" spans="1:32" ht="15">
      <c r="A1088" s="341"/>
      <c r="B1088" s="365"/>
      <c r="C1088" s="365"/>
      <c r="D1088" s="366"/>
      <c r="E1088" s="366"/>
      <c r="F1088" s="367"/>
      <c r="G1088" s="367"/>
      <c r="H1088" s="366"/>
      <c r="I1088" s="366"/>
      <c r="J1088" s="368"/>
      <c r="K1088" s="368"/>
      <c r="L1088" s="341"/>
      <c r="M1088" s="341"/>
      <c r="N1088" s="341"/>
      <c r="O1088" s="341"/>
      <c r="P1088" s="341"/>
      <c r="Q1088" s="341"/>
      <c r="R1088" s="341"/>
      <c r="S1088" s="341"/>
      <c r="T1088" s="341"/>
      <c r="U1088" s="341"/>
      <c r="V1088" s="341"/>
      <c r="W1088" s="341"/>
      <c r="X1088" s="341"/>
      <c r="Y1088" s="341"/>
      <c r="Z1088" s="341"/>
      <c r="AA1088" s="341"/>
      <c r="AB1088" s="341"/>
      <c r="AC1088" s="341"/>
      <c r="AD1088" s="341"/>
      <c r="AE1088" s="341"/>
      <c r="AF1088" s="341"/>
    </row>
    <row r="1089" spans="1:32" ht="15">
      <c r="A1089" s="341"/>
      <c r="B1089" s="365"/>
      <c r="C1089" s="365"/>
      <c r="D1089" s="366"/>
      <c r="E1089" s="366"/>
      <c r="F1089" s="367"/>
      <c r="G1089" s="367"/>
      <c r="H1089" s="366"/>
      <c r="I1089" s="366"/>
      <c r="J1089" s="368"/>
      <c r="K1089" s="368"/>
      <c r="L1089" s="341"/>
      <c r="M1089" s="341"/>
      <c r="N1089" s="341"/>
      <c r="O1089" s="341"/>
      <c r="P1089" s="341"/>
      <c r="Q1089" s="341"/>
      <c r="R1089" s="341"/>
      <c r="S1089" s="341"/>
      <c r="T1089" s="341"/>
      <c r="U1089" s="341"/>
      <c r="V1089" s="341"/>
      <c r="W1089" s="341"/>
      <c r="X1089" s="341"/>
      <c r="Y1089" s="341"/>
      <c r="Z1089" s="341"/>
      <c r="AA1089" s="341"/>
      <c r="AB1089" s="341"/>
      <c r="AC1089" s="341"/>
      <c r="AD1089" s="341"/>
      <c r="AE1089" s="341"/>
      <c r="AF1089" s="341"/>
    </row>
    <row r="1090" spans="1:32" ht="15">
      <c r="A1090" s="341"/>
      <c r="B1090" s="365"/>
      <c r="C1090" s="365"/>
      <c r="D1090" s="366"/>
      <c r="E1090" s="366"/>
      <c r="F1090" s="367"/>
      <c r="G1090" s="367"/>
      <c r="H1090" s="366"/>
      <c r="I1090" s="366"/>
      <c r="J1090" s="368"/>
      <c r="K1090" s="368"/>
      <c r="L1090" s="341"/>
      <c r="M1090" s="341"/>
      <c r="N1090" s="341"/>
      <c r="O1090" s="341"/>
      <c r="P1090" s="341"/>
      <c r="Q1090" s="341"/>
      <c r="R1090" s="341"/>
      <c r="S1090" s="341"/>
      <c r="T1090" s="341"/>
      <c r="U1090" s="341"/>
      <c r="V1090" s="341"/>
      <c r="W1090" s="341"/>
      <c r="X1090" s="341"/>
      <c r="Y1090" s="341"/>
      <c r="Z1090" s="341"/>
      <c r="AA1090" s="341"/>
      <c r="AB1090" s="341"/>
      <c r="AC1090" s="341"/>
      <c r="AD1090" s="341"/>
      <c r="AE1090" s="341"/>
      <c r="AF1090" s="341"/>
    </row>
    <row r="1091" spans="1:32" ht="15">
      <c r="A1091" s="341"/>
      <c r="B1091" s="365"/>
      <c r="C1091" s="365"/>
      <c r="D1091" s="366"/>
      <c r="E1091" s="366"/>
      <c r="F1091" s="367"/>
      <c r="G1091" s="367"/>
      <c r="H1091" s="366"/>
      <c r="I1091" s="366"/>
      <c r="J1091" s="368"/>
      <c r="K1091" s="368"/>
      <c r="L1091" s="341"/>
      <c r="M1091" s="341"/>
      <c r="N1091" s="341"/>
      <c r="O1091" s="341"/>
      <c r="P1091" s="341"/>
      <c r="Q1091" s="341"/>
      <c r="R1091" s="341"/>
      <c r="S1091" s="341"/>
      <c r="T1091" s="341"/>
      <c r="U1091" s="341"/>
      <c r="V1091" s="341"/>
      <c r="W1091" s="341"/>
      <c r="X1091" s="341"/>
      <c r="Y1091" s="341"/>
      <c r="Z1091" s="341"/>
      <c r="AA1091" s="341"/>
      <c r="AB1091" s="341"/>
      <c r="AC1091" s="341"/>
      <c r="AD1091" s="341"/>
      <c r="AE1091" s="341"/>
      <c r="AF1091" s="341"/>
    </row>
    <row r="1092" spans="1:32" ht="15">
      <c r="A1092" s="341"/>
      <c r="B1092" s="365"/>
      <c r="C1092" s="365"/>
      <c r="D1092" s="366"/>
      <c r="E1092" s="366"/>
      <c r="F1092" s="367"/>
      <c r="G1092" s="367"/>
      <c r="H1092" s="366"/>
      <c r="I1092" s="366"/>
      <c r="J1092" s="368"/>
      <c r="K1092" s="368"/>
      <c r="L1092" s="341"/>
      <c r="M1092" s="341"/>
      <c r="N1092" s="341"/>
      <c r="O1092" s="341"/>
      <c r="P1092" s="341"/>
      <c r="Q1092" s="341"/>
      <c r="R1092" s="341"/>
      <c r="S1092" s="341"/>
      <c r="T1092" s="341"/>
      <c r="U1092" s="341"/>
      <c r="V1092" s="341"/>
      <c r="W1092" s="341"/>
      <c r="X1092" s="341"/>
      <c r="Y1092" s="341"/>
      <c r="Z1092" s="341"/>
      <c r="AA1092" s="341"/>
      <c r="AB1092" s="341"/>
      <c r="AC1092" s="341"/>
      <c r="AD1092" s="341"/>
      <c r="AE1092" s="341"/>
      <c r="AF1092" s="341"/>
    </row>
    <row r="1093" spans="1:32" ht="15">
      <c r="A1093" s="341"/>
      <c r="B1093" s="365"/>
      <c r="C1093" s="365"/>
      <c r="D1093" s="366"/>
      <c r="E1093" s="366"/>
      <c r="F1093" s="367"/>
      <c r="G1093" s="367"/>
      <c r="H1093" s="366"/>
      <c r="I1093" s="366"/>
      <c r="J1093" s="368"/>
      <c r="K1093" s="368"/>
      <c r="L1093" s="341"/>
      <c r="M1093" s="341"/>
      <c r="N1093" s="341"/>
      <c r="O1093" s="341"/>
      <c r="P1093" s="341"/>
      <c r="Q1093" s="341"/>
      <c r="R1093" s="341"/>
      <c r="S1093" s="341"/>
      <c r="T1093" s="341"/>
      <c r="U1093" s="341"/>
      <c r="V1093" s="341"/>
      <c r="W1093" s="341"/>
      <c r="X1093" s="341"/>
      <c r="Y1093" s="341"/>
      <c r="Z1093" s="341"/>
      <c r="AA1093" s="341"/>
      <c r="AB1093" s="341"/>
      <c r="AC1093" s="341"/>
      <c r="AD1093" s="341"/>
      <c r="AE1093" s="341"/>
      <c r="AF1093" s="341"/>
    </row>
    <row r="1094" spans="1:32" ht="15">
      <c r="A1094" s="341"/>
      <c r="B1094" s="365"/>
      <c r="C1094" s="365"/>
      <c r="D1094" s="366"/>
      <c r="E1094" s="366"/>
      <c r="F1094" s="367"/>
      <c r="G1094" s="367"/>
      <c r="H1094" s="366"/>
      <c r="I1094" s="366"/>
      <c r="J1094" s="368"/>
      <c r="K1094" s="368"/>
      <c r="L1094" s="341"/>
      <c r="M1094" s="341"/>
      <c r="N1094" s="341"/>
      <c r="O1094" s="341"/>
      <c r="P1094" s="341"/>
      <c r="Q1094" s="341"/>
      <c r="R1094" s="341"/>
      <c r="S1094" s="341"/>
      <c r="T1094" s="341"/>
      <c r="U1094" s="341"/>
      <c r="V1094" s="341"/>
      <c r="W1094" s="341"/>
      <c r="X1094" s="341"/>
      <c r="Y1094" s="341"/>
      <c r="Z1094" s="341"/>
      <c r="AA1094" s="341"/>
      <c r="AB1094" s="341"/>
      <c r="AC1094" s="341"/>
      <c r="AD1094" s="341"/>
      <c r="AE1094" s="341"/>
      <c r="AF1094" s="341"/>
    </row>
    <row r="1095" spans="1:32" ht="15">
      <c r="A1095" s="341"/>
      <c r="B1095" s="365"/>
      <c r="C1095" s="365"/>
      <c r="D1095" s="366"/>
      <c r="E1095" s="366"/>
      <c r="F1095" s="367"/>
      <c r="G1095" s="367"/>
      <c r="H1095" s="366"/>
      <c r="I1095" s="366"/>
      <c r="J1095" s="368"/>
      <c r="K1095" s="368"/>
      <c r="L1095" s="341"/>
      <c r="M1095" s="341"/>
      <c r="N1095" s="341"/>
      <c r="O1095" s="341"/>
      <c r="P1095" s="341"/>
      <c r="Q1095" s="341"/>
      <c r="R1095" s="341"/>
      <c r="S1095" s="341"/>
      <c r="T1095" s="341"/>
      <c r="U1095" s="341"/>
      <c r="V1095" s="341"/>
      <c r="W1095" s="341"/>
      <c r="X1095" s="341"/>
      <c r="Y1095" s="341"/>
      <c r="Z1095" s="341"/>
      <c r="AA1095" s="341"/>
      <c r="AB1095" s="341"/>
      <c r="AC1095" s="341"/>
      <c r="AD1095" s="341"/>
      <c r="AE1095" s="341"/>
      <c r="AF1095" s="341"/>
    </row>
    <row r="1096" spans="1:32" ht="15">
      <c r="A1096" s="341"/>
      <c r="B1096" s="365"/>
      <c r="C1096" s="365"/>
      <c r="D1096" s="366"/>
      <c r="E1096" s="366"/>
      <c r="F1096" s="367"/>
      <c r="G1096" s="367"/>
      <c r="H1096" s="366"/>
      <c r="I1096" s="366"/>
      <c r="J1096" s="368"/>
      <c r="K1096" s="368"/>
      <c r="L1096" s="341"/>
      <c r="M1096" s="341"/>
      <c r="N1096" s="341"/>
      <c r="O1096" s="341"/>
      <c r="P1096" s="341"/>
      <c r="Q1096" s="341"/>
      <c r="R1096" s="341"/>
      <c r="S1096" s="341"/>
      <c r="T1096" s="341"/>
      <c r="U1096" s="341"/>
      <c r="V1096" s="341"/>
      <c r="W1096" s="341"/>
      <c r="X1096" s="341"/>
      <c r="Y1096" s="341"/>
      <c r="Z1096" s="341"/>
      <c r="AA1096" s="341"/>
      <c r="AB1096" s="341"/>
      <c r="AC1096" s="341"/>
      <c r="AD1096" s="341"/>
      <c r="AE1096" s="341"/>
      <c r="AF1096" s="341"/>
    </row>
    <row r="1097" spans="1:32" ht="15">
      <c r="A1097" s="341"/>
      <c r="B1097" s="365"/>
      <c r="C1097" s="365"/>
      <c r="D1097" s="366"/>
      <c r="E1097" s="366"/>
      <c r="F1097" s="367"/>
      <c r="G1097" s="367"/>
      <c r="H1097" s="366"/>
      <c r="I1097" s="366"/>
      <c r="J1097" s="368"/>
      <c r="K1097" s="368"/>
      <c r="L1097" s="341"/>
      <c r="M1097" s="341"/>
      <c r="N1097" s="341"/>
      <c r="O1097" s="341"/>
      <c r="P1097" s="341"/>
      <c r="Q1097" s="341"/>
      <c r="R1097" s="341"/>
      <c r="S1097" s="341"/>
      <c r="T1097" s="341"/>
      <c r="U1097" s="341"/>
      <c r="V1097" s="341"/>
      <c r="W1097" s="341"/>
      <c r="X1097" s="341"/>
      <c r="Y1097" s="341"/>
      <c r="Z1097" s="341"/>
      <c r="AA1097" s="341"/>
      <c r="AB1097" s="341"/>
      <c r="AC1097" s="341"/>
      <c r="AD1097" s="341"/>
      <c r="AE1097" s="341"/>
      <c r="AF1097" s="341"/>
    </row>
    <row r="1098" spans="1:32" ht="15">
      <c r="A1098" s="341"/>
      <c r="B1098" s="365"/>
      <c r="C1098" s="365"/>
      <c r="D1098" s="366"/>
      <c r="E1098" s="366"/>
      <c r="F1098" s="367"/>
      <c r="G1098" s="367"/>
      <c r="H1098" s="366"/>
      <c r="I1098" s="366"/>
      <c r="J1098" s="368"/>
      <c r="K1098" s="368"/>
      <c r="L1098" s="341"/>
      <c r="M1098" s="341"/>
      <c r="N1098" s="341"/>
      <c r="O1098" s="341"/>
      <c r="P1098" s="341"/>
      <c r="Q1098" s="341"/>
      <c r="R1098" s="341"/>
      <c r="S1098" s="341"/>
      <c r="T1098" s="341"/>
      <c r="U1098" s="341"/>
      <c r="V1098" s="341"/>
      <c r="W1098" s="341"/>
      <c r="X1098" s="341"/>
      <c r="Y1098" s="341"/>
      <c r="Z1098" s="341"/>
      <c r="AA1098" s="341"/>
      <c r="AB1098" s="341"/>
      <c r="AC1098" s="341"/>
      <c r="AD1098" s="341"/>
      <c r="AE1098" s="341"/>
      <c r="AF1098" s="341"/>
    </row>
    <row r="1099" spans="1:32" ht="15">
      <c r="A1099" s="341"/>
      <c r="B1099" s="365"/>
      <c r="C1099" s="365"/>
      <c r="D1099" s="366"/>
      <c r="E1099" s="366"/>
      <c r="F1099" s="367"/>
      <c r="G1099" s="367"/>
      <c r="H1099" s="366"/>
      <c r="I1099" s="366"/>
      <c r="J1099" s="368"/>
      <c r="K1099" s="368"/>
      <c r="L1099" s="341"/>
      <c r="M1099" s="341"/>
      <c r="N1099" s="341"/>
      <c r="O1099" s="341"/>
      <c r="P1099" s="341"/>
      <c r="Q1099" s="341"/>
      <c r="R1099" s="341"/>
      <c r="S1099" s="341"/>
      <c r="T1099" s="341"/>
      <c r="U1099" s="341"/>
      <c r="V1099" s="341"/>
      <c r="W1099" s="341"/>
      <c r="X1099" s="341"/>
      <c r="Y1099" s="341"/>
      <c r="Z1099" s="341"/>
      <c r="AA1099" s="341"/>
      <c r="AB1099" s="341"/>
      <c r="AC1099" s="341"/>
      <c r="AD1099" s="341"/>
      <c r="AE1099" s="341"/>
      <c r="AF1099" s="341"/>
    </row>
    <row r="1100" spans="1:32" ht="15">
      <c r="A1100" s="341"/>
      <c r="B1100" s="365"/>
      <c r="C1100" s="365"/>
      <c r="D1100" s="366"/>
      <c r="E1100" s="366"/>
      <c r="F1100" s="367"/>
      <c r="G1100" s="367"/>
      <c r="H1100" s="366"/>
      <c r="I1100" s="366"/>
      <c r="J1100" s="368"/>
      <c r="K1100" s="368"/>
      <c r="L1100" s="341"/>
      <c r="M1100" s="341"/>
      <c r="N1100" s="341"/>
      <c r="O1100" s="341"/>
      <c r="P1100" s="341"/>
      <c r="Q1100" s="341"/>
      <c r="R1100" s="341"/>
      <c r="S1100" s="341"/>
      <c r="T1100" s="341"/>
      <c r="U1100" s="341"/>
      <c r="V1100" s="341"/>
      <c r="W1100" s="341"/>
      <c r="X1100" s="341"/>
      <c r="Y1100" s="341"/>
      <c r="Z1100" s="341"/>
      <c r="AA1100" s="341"/>
      <c r="AB1100" s="341"/>
      <c r="AC1100" s="341"/>
      <c r="AD1100" s="341"/>
      <c r="AE1100" s="341"/>
      <c r="AF1100" s="341"/>
    </row>
    <row r="1101" spans="1:32" ht="15">
      <c r="A1101" s="341"/>
      <c r="B1101" s="365"/>
      <c r="C1101" s="365"/>
      <c r="D1101" s="366"/>
      <c r="E1101" s="366"/>
      <c r="F1101" s="367"/>
      <c r="G1101" s="367"/>
      <c r="H1101" s="366"/>
      <c r="I1101" s="366"/>
      <c r="J1101" s="368"/>
      <c r="K1101" s="368"/>
      <c r="L1101" s="341"/>
      <c r="M1101" s="341"/>
      <c r="N1101" s="341"/>
      <c r="O1101" s="341"/>
      <c r="P1101" s="341"/>
      <c r="Q1101" s="341"/>
      <c r="R1101" s="341"/>
      <c r="S1101" s="341"/>
      <c r="T1101" s="341"/>
      <c r="U1101" s="341"/>
      <c r="V1101" s="341"/>
      <c r="W1101" s="341"/>
      <c r="X1101" s="341"/>
      <c r="Y1101" s="341"/>
      <c r="Z1101" s="341"/>
      <c r="AA1101" s="341"/>
      <c r="AB1101" s="341"/>
      <c r="AC1101" s="341"/>
      <c r="AD1101" s="341"/>
      <c r="AE1101" s="341"/>
      <c r="AF1101" s="341"/>
    </row>
    <row r="1102" spans="1:32" ht="15">
      <c r="A1102" s="341"/>
      <c r="B1102" s="365"/>
      <c r="C1102" s="365"/>
      <c r="D1102" s="366"/>
      <c r="E1102" s="366"/>
      <c r="F1102" s="367"/>
      <c r="G1102" s="367"/>
      <c r="H1102" s="366"/>
      <c r="I1102" s="366"/>
      <c r="J1102" s="368"/>
      <c r="K1102" s="368"/>
      <c r="L1102" s="341"/>
      <c r="M1102" s="341"/>
      <c r="N1102" s="341"/>
      <c r="O1102" s="341"/>
      <c r="P1102" s="341"/>
      <c r="Q1102" s="341"/>
      <c r="R1102" s="341"/>
      <c r="S1102" s="341"/>
      <c r="T1102" s="341"/>
      <c r="U1102" s="341"/>
      <c r="V1102" s="341"/>
      <c r="W1102" s="341"/>
      <c r="X1102" s="341"/>
      <c r="Y1102" s="341"/>
      <c r="Z1102" s="341"/>
      <c r="AA1102" s="341"/>
      <c r="AB1102" s="341"/>
      <c r="AC1102" s="341"/>
      <c r="AD1102" s="341"/>
      <c r="AE1102" s="341"/>
      <c r="AF1102" s="341"/>
    </row>
    <row r="1103" spans="1:32" ht="15">
      <c r="A1103" s="341"/>
      <c r="B1103" s="365"/>
      <c r="C1103" s="365"/>
      <c r="D1103" s="366"/>
      <c r="E1103" s="366"/>
      <c r="F1103" s="367"/>
      <c r="G1103" s="367"/>
      <c r="H1103" s="366"/>
      <c r="I1103" s="366"/>
      <c r="J1103" s="368"/>
      <c r="K1103" s="368"/>
      <c r="L1103" s="341"/>
      <c r="M1103" s="341"/>
      <c r="N1103" s="341"/>
      <c r="O1103" s="341"/>
      <c r="P1103" s="341"/>
      <c r="Q1103" s="341"/>
      <c r="R1103" s="341"/>
      <c r="S1103" s="341"/>
      <c r="T1103" s="341"/>
      <c r="U1103" s="341"/>
      <c r="V1103" s="341"/>
      <c r="W1103" s="341"/>
      <c r="X1103" s="341"/>
      <c r="Y1103" s="341"/>
      <c r="Z1103" s="341"/>
      <c r="AA1103" s="341"/>
      <c r="AB1103" s="341"/>
      <c r="AC1103" s="341"/>
      <c r="AD1103" s="341"/>
      <c r="AE1103" s="341"/>
      <c r="AF1103" s="341"/>
    </row>
    <row r="1104" spans="1:32" ht="15">
      <c r="A1104" s="341"/>
      <c r="B1104" s="365"/>
      <c r="C1104" s="365"/>
      <c r="D1104" s="366"/>
      <c r="E1104" s="366"/>
      <c r="F1104" s="367"/>
      <c r="G1104" s="367"/>
      <c r="H1104" s="366"/>
      <c r="I1104" s="366"/>
      <c r="J1104" s="368"/>
      <c r="K1104" s="368"/>
      <c r="L1104" s="341"/>
      <c r="M1104" s="341"/>
      <c r="N1104" s="341"/>
      <c r="O1104" s="341"/>
      <c r="P1104" s="341"/>
      <c r="Q1104" s="341"/>
      <c r="R1104" s="341"/>
      <c r="S1104" s="341"/>
      <c r="T1104" s="341"/>
      <c r="U1104" s="341"/>
      <c r="V1104" s="341"/>
      <c r="W1104" s="341"/>
      <c r="X1104" s="341"/>
      <c r="Y1104" s="341"/>
      <c r="Z1104" s="341"/>
      <c r="AA1104" s="341"/>
      <c r="AB1104" s="341"/>
      <c r="AC1104" s="341"/>
      <c r="AD1104" s="341"/>
      <c r="AE1104" s="341"/>
      <c r="AF1104" s="341"/>
    </row>
    <row r="1105" spans="1:32" ht="15">
      <c r="A1105" s="341"/>
      <c r="B1105" s="365"/>
      <c r="C1105" s="365"/>
      <c r="D1105" s="366"/>
      <c r="E1105" s="366"/>
      <c r="F1105" s="367"/>
      <c r="G1105" s="367"/>
      <c r="H1105" s="366"/>
      <c r="I1105" s="366"/>
      <c r="J1105" s="368"/>
      <c r="K1105" s="368"/>
      <c r="L1105" s="341"/>
      <c r="M1105" s="341"/>
      <c r="N1105" s="341"/>
      <c r="O1105" s="341"/>
      <c r="P1105" s="341"/>
      <c r="Q1105" s="341"/>
      <c r="R1105" s="341"/>
      <c r="S1105" s="341"/>
      <c r="T1105" s="341"/>
      <c r="U1105" s="341"/>
      <c r="V1105" s="341"/>
      <c r="W1105" s="341"/>
      <c r="X1105" s="341"/>
      <c r="Y1105" s="341"/>
      <c r="Z1105" s="341"/>
      <c r="AA1105" s="341"/>
      <c r="AB1105" s="341"/>
      <c r="AC1105" s="341"/>
      <c r="AD1105" s="341"/>
      <c r="AE1105" s="341"/>
      <c r="AF1105" s="341"/>
    </row>
    <row r="1106" spans="1:32" ht="15">
      <c r="A1106" s="341"/>
      <c r="B1106" s="365"/>
      <c r="C1106" s="365"/>
      <c r="D1106" s="366"/>
      <c r="E1106" s="366"/>
      <c r="F1106" s="367"/>
      <c r="G1106" s="367"/>
      <c r="H1106" s="366"/>
      <c r="I1106" s="366"/>
      <c r="J1106" s="368"/>
      <c r="K1106" s="368"/>
      <c r="L1106" s="341"/>
      <c r="M1106" s="341"/>
      <c r="N1106" s="341"/>
      <c r="O1106" s="341"/>
      <c r="P1106" s="341"/>
      <c r="Q1106" s="341"/>
      <c r="R1106" s="341"/>
      <c r="S1106" s="341"/>
      <c r="T1106" s="341"/>
      <c r="U1106" s="341"/>
      <c r="V1106" s="341"/>
      <c r="W1106" s="341"/>
      <c r="X1106" s="341"/>
      <c r="Y1106" s="341"/>
      <c r="Z1106" s="341"/>
      <c r="AA1106" s="341"/>
      <c r="AB1106" s="341"/>
      <c r="AC1106" s="341"/>
      <c r="AD1106" s="341"/>
      <c r="AE1106" s="341"/>
      <c r="AF1106" s="341"/>
    </row>
    <row r="1107" spans="1:32" ht="15">
      <c r="A1107" s="341"/>
      <c r="B1107" s="365"/>
      <c r="C1107" s="365"/>
      <c r="D1107" s="366"/>
      <c r="E1107" s="366"/>
      <c r="F1107" s="367"/>
      <c r="G1107" s="367"/>
      <c r="H1107" s="366"/>
      <c r="I1107" s="366"/>
      <c r="J1107" s="368"/>
      <c r="K1107" s="368"/>
      <c r="L1107" s="341"/>
      <c r="M1107" s="341"/>
      <c r="N1107" s="341"/>
      <c r="O1107" s="341"/>
      <c r="P1107" s="341"/>
      <c r="Q1107" s="341"/>
      <c r="R1107" s="341"/>
      <c r="S1107" s="341"/>
      <c r="T1107" s="341"/>
      <c r="U1107" s="341"/>
      <c r="V1107" s="341"/>
      <c r="W1107" s="341"/>
      <c r="X1107" s="341"/>
      <c r="Y1107" s="341"/>
      <c r="Z1107" s="341"/>
      <c r="AA1107" s="341"/>
      <c r="AB1107" s="341"/>
      <c r="AC1107" s="341"/>
      <c r="AD1107" s="341"/>
      <c r="AE1107" s="341"/>
      <c r="AF1107" s="341"/>
    </row>
    <row r="1108" spans="1:32" ht="15">
      <c r="A1108" s="341"/>
      <c r="B1108" s="365"/>
      <c r="C1108" s="365"/>
      <c r="D1108" s="366"/>
      <c r="E1108" s="366"/>
      <c r="F1108" s="367"/>
      <c r="G1108" s="367"/>
      <c r="H1108" s="366"/>
      <c r="I1108" s="366"/>
      <c r="J1108" s="368"/>
      <c r="K1108" s="368"/>
      <c r="L1108" s="341"/>
      <c r="M1108" s="341"/>
      <c r="N1108" s="341"/>
      <c r="O1108" s="341"/>
      <c r="P1108" s="341"/>
      <c r="Q1108" s="341"/>
      <c r="R1108" s="341"/>
      <c r="S1108" s="341"/>
      <c r="T1108" s="341"/>
      <c r="U1108" s="341"/>
      <c r="V1108" s="341"/>
      <c r="W1108" s="341"/>
      <c r="X1108" s="341"/>
      <c r="Y1108" s="341"/>
      <c r="Z1108" s="341"/>
      <c r="AA1108" s="341"/>
      <c r="AB1108" s="341"/>
      <c r="AC1108" s="341"/>
      <c r="AD1108" s="341"/>
      <c r="AE1108" s="341"/>
      <c r="AF1108" s="341"/>
    </row>
    <row r="1109" spans="1:32" ht="15">
      <c r="A1109" s="341"/>
      <c r="B1109" s="365"/>
      <c r="C1109" s="365"/>
      <c r="D1109" s="366"/>
      <c r="E1109" s="366"/>
      <c r="F1109" s="367"/>
      <c r="G1109" s="367"/>
      <c r="H1109" s="366"/>
      <c r="I1109" s="366"/>
      <c r="J1109" s="368"/>
      <c r="K1109" s="368"/>
      <c r="L1109" s="341"/>
      <c r="M1109" s="341"/>
      <c r="N1109" s="341"/>
      <c r="O1109" s="341"/>
      <c r="P1109" s="341"/>
      <c r="Q1109" s="341"/>
      <c r="R1109" s="341"/>
      <c r="S1109" s="341"/>
      <c r="T1109" s="341"/>
      <c r="U1109" s="341"/>
      <c r="V1109" s="341"/>
      <c r="W1109" s="341"/>
      <c r="X1109" s="341"/>
      <c r="Y1109" s="341"/>
      <c r="Z1109" s="341"/>
      <c r="AA1109" s="341"/>
      <c r="AB1109" s="341"/>
      <c r="AC1109" s="341"/>
      <c r="AD1109" s="341"/>
      <c r="AE1109" s="341"/>
      <c r="AF1109" s="341"/>
    </row>
    <row r="1110" spans="1:32" ht="15">
      <c r="A1110" s="341"/>
      <c r="B1110" s="365"/>
      <c r="C1110" s="365"/>
      <c r="D1110" s="366"/>
      <c r="E1110" s="366"/>
      <c r="F1110" s="367"/>
      <c r="G1110" s="367"/>
      <c r="H1110" s="366"/>
      <c r="I1110" s="366"/>
      <c r="J1110" s="368"/>
      <c r="K1110" s="368"/>
      <c r="L1110" s="341"/>
      <c r="M1110" s="341"/>
      <c r="N1110" s="341"/>
      <c r="O1110" s="341"/>
      <c r="P1110" s="341"/>
      <c r="Q1110" s="341"/>
      <c r="R1110" s="341"/>
      <c r="S1110" s="341"/>
      <c r="T1110" s="341"/>
      <c r="U1110" s="341"/>
      <c r="V1110" s="341"/>
      <c r="W1110" s="341"/>
      <c r="X1110" s="341"/>
      <c r="Y1110" s="341"/>
      <c r="Z1110" s="341"/>
      <c r="AA1110" s="341"/>
      <c r="AB1110" s="341"/>
      <c r="AC1110" s="341"/>
      <c r="AD1110" s="341"/>
      <c r="AE1110" s="341"/>
      <c r="AF1110" s="341"/>
    </row>
    <row r="1111" spans="1:32" ht="15">
      <c r="A1111" s="341"/>
      <c r="B1111" s="365"/>
      <c r="C1111" s="365"/>
      <c r="D1111" s="366"/>
      <c r="E1111" s="366"/>
      <c r="F1111" s="367"/>
      <c r="G1111" s="367"/>
      <c r="H1111" s="366"/>
      <c r="I1111" s="366"/>
      <c r="J1111" s="368"/>
      <c r="K1111" s="368"/>
      <c r="L1111" s="341"/>
      <c r="M1111" s="341"/>
      <c r="N1111" s="341"/>
      <c r="O1111" s="341"/>
      <c r="P1111" s="341"/>
      <c r="Q1111" s="341"/>
      <c r="R1111" s="341"/>
      <c r="S1111" s="341"/>
      <c r="T1111" s="341"/>
      <c r="U1111" s="341"/>
      <c r="V1111" s="341"/>
      <c r="W1111" s="341"/>
      <c r="X1111" s="341"/>
      <c r="Y1111" s="341"/>
      <c r="Z1111" s="341"/>
      <c r="AA1111" s="341"/>
      <c r="AB1111" s="341"/>
      <c r="AC1111" s="341"/>
      <c r="AD1111" s="341"/>
      <c r="AE1111" s="341"/>
      <c r="AF1111" s="341"/>
    </row>
    <row r="1112" spans="1:32" ht="15">
      <c r="A1112" s="341"/>
      <c r="B1112" s="365"/>
      <c r="C1112" s="365"/>
      <c r="D1112" s="366"/>
      <c r="E1112" s="366"/>
      <c r="F1112" s="367"/>
      <c r="G1112" s="367"/>
      <c r="H1112" s="366"/>
      <c r="I1112" s="366"/>
      <c r="J1112" s="368"/>
      <c r="K1112" s="368"/>
      <c r="L1112" s="341"/>
      <c r="M1112" s="341"/>
      <c r="N1112" s="341"/>
      <c r="O1112" s="341"/>
      <c r="P1112" s="341"/>
      <c r="Q1112" s="341"/>
      <c r="R1112" s="341"/>
      <c r="S1112" s="341"/>
      <c r="T1112" s="341"/>
      <c r="U1112" s="341"/>
      <c r="V1112" s="341"/>
      <c r="W1112" s="341"/>
      <c r="X1112" s="341"/>
      <c r="Y1112" s="341"/>
      <c r="Z1112" s="341"/>
      <c r="AA1112" s="341"/>
      <c r="AB1112" s="341"/>
      <c r="AC1112" s="341"/>
      <c r="AD1112" s="341"/>
      <c r="AE1112" s="341"/>
      <c r="AF1112" s="341"/>
    </row>
    <row r="1113" spans="1:32" ht="15">
      <c r="A1113" s="341"/>
      <c r="B1113" s="365"/>
      <c r="C1113" s="365"/>
      <c r="D1113" s="366"/>
      <c r="E1113" s="366"/>
      <c r="F1113" s="367"/>
      <c r="G1113" s="367"/>
      <c r="H1113" s="366"/>
      <c r="I1113" s="366"/>
      <c r="J1113" s="368"/>
      <c r="K1113" s="368"/>
      <c r="L1113" s="341"/>
      <c r="M1113" s="341"/>
      <c r="N1113" s="341"/>
      <c r="O1113" s="341"/>
      <c r="P1113" s="341"/>
      <c r="Q1113" s="341"/>
      <c r="R1113" s="341"/>
      <c r="S1113" s="341"/>
      <c r="T1113" s="341"/>
      <c r="U1113" s="341"/>
      <c r="V1113" s="341"/>
      <c r="W1113" s="341"/>
      <c r="X1113" s="341"/>
      <c r="Y1113" s="341"/>
      <c r="Z1113" s="341"/>
      <c r="AA1113" s="341"/>
      <c r="AB1113" s="341"/>
      <c r="AC1113" s="341"/>
      <c r="AD1113" s="341"/>
      <c r="AE1113" s="341"/>
      <c r="AF1113" s="341"/>
    </row>
    <row r="1114" spans="1:32" ht="15">
      <c r="A1114" s="341"/>
      <c r="B1114" s="365"/>
      <c r="C1114" s="365"/>
      <c r="D1114" s="366"/>
      <c r="E1114" s="366"/>
      <c r="F1114" s="367"/>
      <c r="G1114" s="367"/>
      <c r="H1114" s="366"/>
      <c r="I1114" s="366"/>
      <c r="J1114" s="368"/>
      <c r="K1114" s="368"/>
      <c r="L1114" s="341"/>
      <c r="M1114" s="341"/>
      <c r="N1114" s="341"/>
      <c r="O1114" s="341"/>
      <c r="P1114" s="341"/>
      <c r="Q1114" s="341"/>
      <c r="R1114" s="341"/>
      <c r="S1114" s="341"/>
      <c r="T1114" s="341"/>
      <c r="U1114" s="341"/>
      <c r="V1114" s="341"/>
      <c r="W1114" s="341"/>
      <c r="X1114" s="341"/>
      <c r="Y1114" s="341"/>
      <c r="Z1114" s="341"/>
      <c r="AA1114" s="341"/>
      <c r="AB1114" s="341"/>
      <c r="AC1114" s="341"/>
      <c r="AD1114" s="341"/>
      <c r="AE1114" s="341"/>
      <c r="AF1114" s="341"/>
    </row>
    <row r="1115" spans="1:32" ht="15">
      <c r="A1115" s="341"/>
      <c r="B1115" s="365"/>
      <c r="C1115" s="365"/>
      <c r="D1115" s="366"/>
      <c r="E1115" s="366"/>
      <c r="F1115" s="367"/>
      <c r="G1115" s="367"/>
      <c r="H1115" s="366"/>
      <c r="I1115" s="366"/>
      <c r="J1115" s="368"/>
      <c r="K1115" s="368"/>
      <c r="L1115" s="341"/>
      <c r="M1115" s="341"/>
      <c r="N1115" s="341"/>
      <c r="O1115" s="341"/>
      <c r="P1115" s="341"/>
      <c r="Q1115" s="341"/>
      <c r="R1115" s="341"/>
      <c r="S1115" s="341"/>
      <c r="T1115" s="341"/>
      <c r="U1115" s="341"/>
      <c r="V1115" s="341"/>
      <c r="W1115" s="341"/>
      <c r="X1115" s="341"/>
      <c r="Y1115" s="341"/>
      <c r="Z1115" s="341"/>
      <c r="AA1115" s="341"/>
      <c r="AB1115" s="341"/>
      <c r="AC1115" s="341"/>
      <c r="AD1115" s="341"/>
      <c r="AE1115" s="341"/>
      <c r="AF1115" s="341"/>
    </row>
    <row r="1116" spans="1:32" ht="15">
      <c r="A1116" s="341"/>
      <c r="B1116" s="365"/>
      <c r="C1116" s="365"/>
      <c r="D1116" s="366"/>
      <c r="E1116" s="366"/>
      <c r="F1116" s="367"/>
      <c r="G1116" s="367"/>
      <c r="H1116" s="366"/>
      <c r="I1116" s="366"/>
      <c r="J1116" s="368"/>
      <c r="K1116" s="368"/>
      <c r="L1116" s="341"/>
      <c r="M1116" s="341"/>
      <c r="N1116" s="341"/>
      <c r="O1116" s="341"/>
      <c r="P1116" s="341"/>
      <c r="Q1116" s="341"/>
      <c r="R1116" s="341"/>
      <c r="S1116" s="341"/>
      <c r="T1116" s="341"/>
      <c r="U1116" s="341"/>
      <c r="V1116" s="341"/>
      <c r="W1116" s="341"/>
      <c r="X1116" s="341"/>
      <c r="Y1116" s="341"/>
      <c r="Z1116" s="341"/>
      <c r="AA1116" s="341"/>
      <c r="AB1116" s="341"/>
      <c r="AC1116" s="341"/>
      <c r="AD1116" s="341"/>
      <c r="AE1116" s="341"/>
      <c r="AF1116" s="341"/>
    </row>
    <row r="1117" spans="1:32" ht="15">
      <c r="A1117" s="341"/>
      <c r="B1117" s="365"/>
      <c r="C1117" s="365"/>
      <c r="D1117" s="366"/>
      <c r="E1117" s="366"/>
      <c r="F1117" s="367"/>
      <c r="G1117" s="367"/>
      <c r="H1117" s="366"/>
      <c r="I1117" s="366"/>
      <c r="J1117" s="368"/>
      <c r="K1117" s="368"/>
      <c r="L1117" s="341"/>
      <c r="M1117" s="341"/>
      <c r="N1117" s="341"/>
      <c r="O1117" s="341"/>
      <c r="P1117" s="341"/>
      <c r="Q1117" s="341"/>
      <c r="R1117" s="341"/>
      <c r="S1117" s="341"/>
      <c r="T1117" s="341"/>
      <c r="U1117" s="341"/>
      <c r="V1117" s="341"/>
      <c r="W1117" s="341"/>
      <c r="X1117" s="341"/>
      <c r="Y1117" s="341"/>
      <c r="Z1117" s="341"/>
      <c r="AA1117" s="341"/>
      <c r="AB1117" s="341"/>
      <c r="AC1117" s="341"/>
      <c r="AD1117" s="341"/>
      <c r="AE1117" s="341"/>
      <c r="AF1117" s="341"/>
    </row>
    <row r="1118" spans="1:32" ht="15">
      <c r="A1118" s="341"/>
      <c r="B1118" s="365"/>
      <c r="C1118" s="365"/>
      <c r="D1118" s="366"/>
      <c r="E1118" s="366"/>
      <c r="F1118" s="367"/>
      <c r="G1118" s="367"/>
      <c r="H1118" s="366"/>
      <c r="I1118" s="366"/>
      <c r="J1118" s="368"/>
      <c r="K1118" s="368"/>
      <c r="L1118" s="341"/>
      <c r="M1118" s="341"/>
      <c r="N1118" s="341"/>
      <c r="O1118" s="341"/>
      <c r="P1118" s="341"/>
      <c r="Q1118" s="341"/>
      <c r="R1118" s="341"/>
      <c r="S1118" s="341"/>
      <c r="T1118" s="341"/>
      <c r="U1118" s="341"/>
      <c r="V1118" s="341"/>
      <c r="W1118" s="341"/>
      <c r="X1118" s="341"/>
      <c r="Y1118" s="341"/>
      <c r="Z1118" s="341"/>
      <c r="AA1118" s="341"/>
      <c r="AB1118" s="341"/>
      <c r="AC1118" s="341"/>
      <c r="AD1118" s="341"/>
      <c r="AE1118" s="341"/>
      <c r="AF1118" s="341"/>
    </row>
    <row r="1119" spans="1:32" ht="15">
      <c r="A1119" s="341"/>
      <c r="B1119" s="365"/>
      <c r="C1119" s="365"/>
      <c r="D1119" s="366"/>
      <c r="E1119" s="366"/>
      <c r="F1119" s="367"/>
      <c r="G1119" s="367"/>
      <c r="H1119" s="366"/>
      <c r="I1119" s="366"/>
      <c r="J1119" s="368"/>
      <c r="K1119" s="368"/>
      <c r="L1119" s="341"/>
      <c r="M1119" s="341"/>
      <c r="N1119" s="341"/>
      <c r="O1119" s="341"/>
      <c r="P1119" s="341"/>
      <c r="Q1119" s="341"/>
      <c r="R1119" s="341"/>
      <c r="S1119" s="341"/>
      <c r="T1119" s="341"/>
      <c r="U1119" s="341"/>
      <c r="V1119" s="341"/>
      <c r="W1119" s="341"/>
      <c r="X1119" s="341"/>
      <c r="Y1119" s="341"/>
      <c r="Z1119" s="341"/>
      <c r="AA1119" s="341"/>
      <c r="AB1119" s="341"/>
      <c r="AC1119" s="341"/>
      <c r="AD1119" s="341"/>
      <c r="AE1119" s="341"/>
      <c r="AF1119" s="341"/>
    </row>
    <row r="1120" spans="1:32" ht="15">
      <c r="A1120" s="341"/>
      <c r="B1120" s="365"/>
      <c r="C1120" s="365"/>
      <c r="D1120" s="366"/>
      <c r="E1120" s="366"/>
      <c r="F1120" s="367"/>
      <c r="G1120" s="367"/>
      <c r="H1120" s="366"/>
      <c r="I1120" s="366"/>
      <c r="J1120" s="368"/>
      <c r="K1120" s="368"/>
      <c r="L1120" s="341"/>
      <c r="M1120" s="341"/>
      <c r="N1120" s="341"/>
      <c r="O1120" s="341"/>
      <c r="P1120" s="341"/>
      <c r="Q1120" s="341"/>
      <c r="R1120" s="341"/>
      <c r="S1120" s="341"/>
      <c r="T1120" s="341"/>
      <c r="U1120" s="341"/>
      <c r="V1120" s="341"/>
      <c r="W1120" s="341"/>
      <c r="X1120" s="341"/>
      <c r="Y1120" s="341"/>
      <c r="Z1120" s="341"/>
      <c r="AA1120" s="341"/>
      <c r="AB1120" s="341"/>
      <c r="AC1120" s="341"/>
      <c r="AD1120" s="341"/>
      <c r="AE1120" s="341"/>
      <c r="AF1120" s="341"/>
    </row>
    <row r="1121" spans="1:32" ht="15">
      <c r="A1121" s="341"/>
      <c r="B1121" s="365"/>
      <c r="C1121" s="365"/>
      <c r="D1121" s="366"/>
      <c r="E1121" s="366"/>
      <c r="F1121" s="367"/>
      <c r="G1121" s="367"/>
      <c r="H1121" s="366"/>
      <c r="I1121" s="366"/>
      <c r="J1121" s="368"/>
      <c r="K1121" s="368"/>
      <c r="L1121" s="341"/>
      <c r="M1121" s="341"/>
      <c r="N1121" s="341"/>
      <c r="O1121" s="341"/>
      <c r="P1121" s="341"/>
      <c r="Q1121" s="341"/>
      <c r="R1121" s="341"/>
      <c r="S1121" s="341"/>
      <c r="T1121" s="341"/>
      <c r="U1121" s="341"/>
      <c r="V1121" s="341"/>
      <c r="W1121" s="341"/>
      <c r="X1121" s="341"/>
      <c r="Y1121" s="341"/>
      <c r="Z1121" s="341"/>
      <c r="AA1121" s="341"/>
      <c r="AB1121" s="341"/>
      <c r="AC1121" s="341"/>
      <c r="AD1121" s="341"/>
      <c r="AE1121" s="341"/>
      <c r="AF1121" s="341"/>
    </row>
    <row r="1122" spans="1:32" ht="15">
      <c r="A1122" s="341"/>
      <c r="B1122" s="365"/>
      <c r="C1122" s="365"/>
      <c r="D1122" s="366"/>
      <c r="E1122" s="366"/>
      <c r="F1122" s="367"/>
      <c r="G1122" s="367"/>
      <c r="H1122" s="366"/>
      <c r="I1122" s="366"/>
      <c r="J1122" s="368"/>
      <c r="K1122" s="368"/>
      <c r="L1122" s="341"/>
      <c r="M1122" s="341"/>
      <c r="N1122" s="341"/>
      <c r="O1122" s="341"/>
      <c r="P1122" s="341"/>
      <c r="Q1122" s="341"/>
      <c r="R1122" s="341"/>
      <c r="S1122" s="341"/>
      <c r="T1122" s="341"/>
      <c r="U1122" s="341"/>
      <c r="V1122" s="341"/>
      <c r="W1122" s="341"/>
      <c r="X1122" s="341"/>
      <c r="Y1122" s="341"/>
      <c r="Z1122" s="341"/>
      <c r="AA1122" s="341"/>
      <c r="AB1122" s="341"/>
      <c r="AC1122" s="341"/>
      <c r="AD1122" s="341"/>
      <c r="AE1122" s="341"/>
      <c r="AF1122" s="341"/>
    </row>
    <row r="1123" spans="1:32" ht="15">
      <c r="A1123" s="341"/>
      <c r="B1123" s="365"/>
      <c r="C1123" s="365"/>
      <c r="D1123" s="366"/>
      <c r="E1123" s="366"/>
      <c r="F1123" s="367"/>
      <c r="G1123" s="367"/>
      <c r="H1123" s="366"/>
      <c r="I1123" s="366"/>
      <c r="J1123" s="368"/>
      <c r="K1123" s="368"/>
      <c r="L1123" s="341"/>
      <c r="M1123" s="341"/>
      <c r="N1123" s="341"/>
      <c r="O1123" s="341"/>
      <c r="P1123" s="341"/>
      <c r="Q1123" s="341"/>
      <c r="R1123" s="341"/>
      <c r="S1123" s="341"/>
      <c r="T1123" s="341"/>
      <c r="U1123" s="341"/>
      <c r="V1123" s="341"/>
      <c r="W1123" s="341"/>
      <c r="X1123" s="341"/>
      <c r="Y1123" s="341"/>
      <c r="Z1123" s="341"/>
      <c r="AA1123" s="341"/>
      <c r="AB1123" s="341"/>
      <c r="AC1123" s="341"/>
      <c r="AD1123" s="341"/>
      <c r="AE1123" s="341"/>
      <c r="AF1123" s="341"/>
    </row>
    <row r="1124" spans="1:32" ht="15">
      <c r="A1124" s="341"/>
      <c r="B1124" s="365"/>
      <c r="C1124" s="365"/>
      <c r="D1124" s="366"/>
      <c r="E1124" s="366"/>
      <c r="F1124" s="367"/>
      <c r="G1124" s="367"/>
      <c r="H1124" s="366"/>
      <c r="I1124" s="366"/>
      <c r="J1124" s="368"/>
      <c r="K1124" s="368"/>
      <c r="L1124" s="341"/>
      <c r="M1124" s="341"/>
      <c r="N1124" s="341"/>
      <c r="O1124" s="341"/>
      <c r="P1124" s="341"/>
      <c r="Q1124" s="341"/>
      <c r="R1124" s="341"/>
      <c r="S1124" s="341"/>
      <c r="T1124" s="341"/>
      <c r="U1124" s="341"/>
      <c r="V1124" s="341"/>
      <c r="W1124" s="341"/>
      <c r="X1124" s="341"/>
      <c r="Y1124" s="341"/>
      <c r="Z1124" s="341"/>
      <c r="AA1124" s="341"/>
      <c r="AB1124" s="341"/>
      <c r="AC1124" s="341"/>
      <c r="AD1124" s="341"/>
      <c r="AE1124" s="341"/>
      <c r="AF1124" s="341"/>
    </row>
    <row r="1125" spans="1:32" ht="15">
      <c r="A1125" s="341"/>
      <c r="B1125" s="365"/>
      <c r="C1125" s="365"/>
      <c r="D1125" s="366"/>
      <c r="E1125" s="366"/>
      <c r="F1125" s="367"/>
      <c r="G1125" s="367"/>
      <c r="H1125" s="366"/>
      <c r="I1125" s="366"/>
      <c r="J1125" s="368"/>
      <c r="K1125" s="368"/>
      <c r="L1125" s="341"/>
      <c r="M1125" s="341"/>
      <c r="N1125" s="341"/>
      <c r="O1125" s="341"/>
      <c r="P1125" s="341"/>
      <c r="Q1125" s="341"/>
      <c r="R1125" s="341"/>
      <c r="S1125" s="341"/>
      <c r="T1125" s="341"/>
      <c r="U1125" s="341"/>
      <c r="V1125" s="341"/>
      <c r="W1125" s="341"/>
      <c r="X1125" s="341"/>
      <c r="Y1125" s="341"/>
      <c r="Z1125" s="341"/>
      <c r="AA1125" s="341"/>
      <c r="AB1125" s="341"/>
      <c r="AC1125" s="341"/>
      <c r="AD1125" s="341"/>
      <c r="AE1125" s="341"/>
      <c r="AF1125" s="341"/>
    </row>
    <row r="1126" spans="1:32" ht="15">
      <c r="A1126" s="341"/>
      <c r="B1126" s="365"/>
      <c r="C1126" s="365"/>
      <c r="D1126" s="366"/>
      <c r="E1126" s="366"/>
      <c r="F1126" s="367"/>
      <c r="G1126" s="367"/>
      <c r="H1126" s="366"/>
      <c r="I1126" s="366"/>
      <c r="J1126" s="368"/>
      <c r="K1126" s="368"/>
      <c r="L1126" s="341"/>
      <c r="M1126" s="341"/>
      <c r="N1126" s="341"/>
      <c r="O1126" s="341"/>
      <c r="P1126" s="341"/>
      <c r="Q1126" s="341"/>
      <c r="R1126" s="341"/>
      <c r="S1126" s="341"/>
      <c r="T1126" s="341"/>
      <c r="U1126" s="341"/>
      <c r="V1126" s="341"/>
      <c r="W1126" s="341"/>
      <c r="X1126" s="341"/>
      <c r="Y1126" s="341"/>
      <c r="Z1126" s="341"/>
      <c r="AA1126" s="341"/>
      <c r="AB1126" s="341"/>
      <c r="AC1126" s="341"/>
      <c r="AD1126" s="341"/>
      <c r="AE1126" s="341"/>
      <c r="AF1126" s="341"/>
    </row>
    <row r="1127" spans="1:32" ht="15">
      <c r="A1127" s="341"/>
      <c r="B1127" s="365"/>
      <c r="C1127" s="365"/>
      <c r="D1127" s="366"/>
      <c r="E1127" s="366"/>
      <c r="F1127" s="367"/>
      <c r="G1127" s="367"/>
      <c r="H1127" s="366"/>
      <c r="I1127" s="366"/>
      <c r="J1127" s="368"/>
      <c r="K1127" s="368"/>
      <c r="L1127" s="341"/>
      <c r="M1127" s="341"/>
      <c r="N1127" s="341"/>
      <c r="O1127" s="341"/>
      <c r="P1127" s="341"/>
      <c r="Q1127" s="341"/>
      <c r="R1127" s="341"/>
      <c r="S1127" s="341"/>
      <c r="T1127" s="341"/>
      <c r="U1127" s="341"/>
      <c r="V1127" s="341"/>
      <c r="W1127" s="341"/>
      <c r="X1127" s="341"/>
      <c r="Y1127" s="341"/>
      <c r="Z1127" s="341"/>
      <c r="AA1127" s="341"/>
      <c r="AB1127" s="341"/>
      <c r="AC1127" s="341"/>
      <c r="AD1127" s="341"/>
      <c r="AE1127" s="341"/>
      <c r="AF1127" s="341"/>
    </row>
    <row r="1128" spans="1:32" ht="15">
      <c r="A1128" s="341"/>
      <c r="B1128" s="365"/>
      <c r="C1128" s="365"/>
      <c r="D1128" s="366"/>
      <c r="E1128" s="366"/>
      <c r="F1128" s="367"/>
      <c r="G1128" s="367"/>
      <c r="H1128" s="366"/>
      <c r="I1128" s="366"/>
      <c r="J1128" s="368"/>
      <c r="K1128" s="368"/>
      <c r="L1128" s="341"/>
      <c r="M1128" s="341"/>
      <c r="N1128" s="341"/>
      <c r="O1128" s="341"/>
      <c r="P1128" s="341"/>
      <c r="Q1128" s="341"/>
      <c r="R1128" s="341"/>
      <c r="S1128" s="341"/>
      <c r="T1128" s="341"/>
      <c r="U1128" s="341"/>
      <c r="V1128" s="341"/>
      <c r="W1128" s="341"/>
      <c r="X1128" s="341"/>
      <c r="Y1128" s="341"/>
      <c r="Z1128" s="341"/>
      <c r="AA1128" s="341"/>
      <c r="AB1128" s="341"/>
      <c r="AC1128" s="341"/>
      <c r="AD1128" s="341"/>
      <c r="AE1128" s="341"/>
      <c r="AF1128" s="341"/>
    </row>
    <row r="1129" spans="1:32" ht="15">
      <c r="A1129" s="341"/>
      <c r="B1129" s="365"/>
      <c r="C1129" s="365"/>
      <c r="D1129" s="366"/>
      <c r="E1129" s="366"/>
      <c r="F1129" s="367"/>
      <c r="G1129" s="367"/>
      <c r="H1129" s="366"/>
      <c r="I1129" s="366"/>
      <c r="J1129" s="368"/>
      <c r="K1129" s="368"/>
      <c r="L1129" s="341"/>
      <c r="M1129" s="341"/>
      <c r="N1129" s="341"/>
      <c r="O1129" s="341"/>
      <c r="P1129" s="341"/>
      <c r="Q1129" s="341"/>
      <c r="R1129" s="341"/>
      <c r="S1129" s="341"/>
      <c r="T1129" s="341"/>
      <c r="U1129" s="341"/>
      <c r="V1129" s="341"/>
      <c r="W1129" s="341"/>
      <c r="X1129" s="341"/>
      <c r="Y1129" s="341"/>
      <c r="Z1129" s="341"/>
      <c r="AA1129" s="341"/>
      <c r="AB1129" s="341"/>
      <c r="AC1129" s="341"/>
      <c r="AD1129" s="341"/>
      <c r="AE1129" s="341"/>
      <c r="AF1129" s="341"/>
    </row>
    <row r="1130" spans="1:32" ht="15">
      <c r="A1130" s="341"/>
      <c r="B1130" s="365"/>
      <c r="C1130" s="365"/>
      <c r="D1130" s="366"/>
      <c r="E1130" s="366"/>
      <c r="F1130" s="367"/>
      <c r="G1130" s="367"/>
      <c r="H1130" s="366"/>
      <c r="I1130" s="366"/>
      <c r="J1130" s="368"/>
      <c r="K1130" s="368"/>
      <c r="L1130" s="341"/>
      <c r="M1130" s="341"/>
      <c r="N1130" s="341"/>
      <c r="O1130" s="341"/>
      <c r="P1130" s="341"/>
      <c r="Q1130" s="341"/>
      <c r="R1130" s="341"/>
      <c r="S1130" s="341"/>
      <c r="T1130" s="341"/>
      <c r="U1130" s="341"/>
      <c r="V1130" s="341"/>
      <c r="W1130" s="341"/>
      <c r="X1130" s="341"/>
      <c r="Y1130" s="341"/>
      <c r="Z1130" s="341"/>
      <c r="AA1130" s="341"/>
      <c r="AB1130" s="341"/>
      <c r="AC1130" s="341"/>
      <c r="AD1130" s="341"/>
      <c r="AE1130" s="341"/>
      <c r="AF1130" s="341"/>
    </row>
    <row r="1131" spans="1:32" ht="15">
      <c r="A1131" s="341"/>
      <c r="B1131" s="365"/>
      <c r="C1131" s="365"/>
      <c r="D1131" s="366"/>
      <c r="E1131" s="366"/>
      <c r="F1131" s="367"/>
      <c r="G1131" s="367"/>
      <c r="H1131" s="366"/>
      <c r="I1131" s="366"/>
      <c r="J1131" s="368"/>
      <c r="K1131" s="368"/>
      <c r="L1131" s="341"/>
      <c r="M1131" s="341"/>
      <c r="N1131" s="341"/>
      <c r="O1131" s="341"/>
      <c r="P1131" s="341"/>
      <c r="Q1131" s="341"/>
      <c r="R1131" s="341"/>
      <c r="S1131" s="341"/>
      <c r="T1131" s="341"/>
      <c r="U1131" s="341"/>
      <c r="V1131" s="341"/>
      <c r="W1131" s="341"/>
      <c r="X1131" s="341"/>
      <c r="Y1131" s="341"/>
      <c r="Z1131" s="341"/>
      <c r="AA1131" s="341"/>
      <c r="AB1131" s="341"/>
      <c r="AC1131" s="341"/>
      <c r="AD1131" s="341"/>
      <c r="AE1131" s="341"/>
      <c r="AF1131" s="341"/>
    </row>
    <row r="1132" spans="1:32" ht="15">
      <c r="A1132" s="341"/>
      <c r="B1132" s="365"/>
      <c r="C1132" s="365"/>
      <c r="D1132" s="366"/>
      <c r="E1132" s="366"/>
      <c r="F1132" s="367"/>
      <c r="G1132" s="367"/>
      <c r="H1132" s="366"/>
      <c r="I1132" s="366"/>
      <c r="J1132" s="368"/>
      <c r="K1132" s="368"/>
      <c r="L1132" s="341"/>
      <c r="M1132" s="341"/>
      <c r="N1132" s="341"/>
      <c r="O1132" s="341"/>
      <c r="P1132" s="341"/>
      <c r="Q1132" s="341"/>
      <c r="R1132" s="341"/>
      <c r="S1132" s="341"/>
      <c r="T1132" s="341"/>
      <c r="U1132" s="341"/>
      <c r="V1132" s="341"/>
      <c r="W1132" s="341"/>
      <c r="X1132" s="341"/>
      <c r="Y1132" s="341"/>
      <c r="Z1132" s="341"/>
      <c r="AA1132" s="341"/>
      <c r="AB1132" s="341"/>
      <c r="AC1132" s="341"/>
      <c r="AD1132" s="341"/>
      <c r="AE1132" s="341"/>
      <c r="AF1132" s="341"/>
    </row>
    <row r="1133" spans="1:32" ht="15">
      <c r="A1133" s="341"/>
      <c r="B1133" s="365"/>
      <c r="C1133" s="365"/>
      <c r="D1133" s="366"/>
      <c r="E1133" s="366"/>
      <c r="F1133" s="367"/>
      <c r="G1133" s="367"/>
      <c r="H1133" s="366"/>
      <c r="I1133" s="366"/>
      <c r="J1133" s="368"/>
      <c r="K1133" s="368"/>
      <c r="L1133" s="341"/>
      <c r="M1133" s="341"/>
      <c r="N1133" s="341"/>
      <c r="O1133" s="341"/>
      <c r="P1133" s="341"/>
      <c r="Q1133" s="341"/>
      <c r="R1133" s="341"/>
      <c r="S1133" s="341"/>
      <c r="T1133" s="341"/>
      <c r="U1133" s="341"/>
      <c r="V1133" s="341"/>
      <c r="W1133" s="341"/>
      <c r="X1133" s="341"/>
      <c r="Y1133" s="341"/>
      <c r="Z1133" s="341"/>
      <c r="AA1133" s="341"/>
      <c r="AB1133" s="341"/>
      <c r="AC1133" s="341"/>
      <c r="AD1133" s="341"/>
      <c r="AE1133" s="341"/>
      <c r="AF1133" s="341"/>
    </row>
    <row r="1134" spans="1:32" ht="15">
      <c r="A1134" s="341"/>
      <c r="B1134" s="365"/>
      <c r="C1134" s="365"/>
      <c r="D1134" s="366"/>
      <c r="E1134" s="366"/>
      <c r="F1134" s="367"/>
      <c r="G1134" s="367"/>
      <c r="H1134" s="366"/>
      <c r="I1134" s="366"/>
      <c r="J1134" s="368"/>
      <c r="K1134" s="368"/>
      <c r="L1134" s="341"/>
      <c r="M1134" s="341"/>
      <c r="N1134" s="341"/>
      <c r="O1134" s="341"/>
      <c r="P1134" s="341"/>
      <c r="Q1134" s="341"/>
      <c r="R1134" s="341"/>
      <c r="S1134" s="341"/>
      <c r="T1134" s="341"/>
      <c r="U1134" s="341"/>
      <c r="V1134" s="341"/>
      <c r="W1134" s="341"/>
      <c r="X1134" s="341"/>
      <c r="Y1134" s="341"/>
      <c r="Z1134" s="341"/>
      <c r="AA1134" s="341"/>
      <c r="AB1134" s="341"/>
      <c r="AC1134" s="341"/>
      <c r="AD1134" s="341"/>
      <c r="AE1134" s="341"/>
      <c r="AF1134" s="341"/>
    </row>
    <row r="1135" spans="1:32" ht="15">
      <c r="A1135" s="341"/>
      <c r="B1135" s="365"/>
      <c r="C1135" s="365"/>
      <c r="D1135" s="366"/>
      <c r="E1135" s="366"/>
      <c r="F1135" s="367"/>
      <c r="G1135" s="367"/>
      <c r="H1135" s="366"/>
      <c r="I1135" s="366"/>
      <c r="J1135" s="368"/>
      <c r="K1135" s="368"/>
      <c r="L1135" s="341"/>
      <c r="M1135" s="341"/>
      <c r="N1135" s="341"/>
      <c r="O1135" s="341"/>
      <c r="P1135" s="341"/>
      <c r="Q1135" s="341"/>
      <c r="R1135" s="341"/>
      <c r="S1135" s="341"/>
      <c r="T1135" s="341"/>
      <c r="U1135" s="341"/>
      <c r="V1135" s="341"/>
      <c r="W1135" s="341"/>
      <c r="X1135" s="341"/>
      <c r="Y1135" s="341"/>
      <c r="Z1135" s="341"/>
      <c r="AA1135" s="341"/>
      <c r="AB1135" s="341"/>
      <c r="AC1135" s="341"/>
      <c r="AD1135" s="341"/>
      <c r="AE1135" s="341"/>
      <c r="AF1135" s="341"/>
    </row>
    <row r="1136" spans="1:32" ht="15">
      <c r="A1136" s="341"/>
      <c r="B1136" s="365"/>
      <c r="C1136" s="365"/>
      <c r="D1136" s="366"/>
      <c r="E1136" s="366"/>
      <c r="F1136" s="367"/>
      <c r="G1136" s="367"/>
      <c r="H1136" s="366"/>
      <c r="I1136" s="366"/>
      <c r="J1136" s="368"/>
      <c r="K1136" s="368"/>
      <c r="L1136" s="341"/>
      <c r="M1136" s="341"/>
      <c r="N1136" s="341"/>
      <c r="O1136" s="341"/>
      <c r="P1136" s="341"/>
      <c r="Q1136" s="341"/>
      <c r="R1136" s="341"/>
      <c r="S1136" s="341"/>
      <c r="T1136" s="341"/>
      <c r="U1136" s="341"/>
      <c r="V1136" s="341"/>
      <c r="W1136" s="341"/>
      <c r="X1136" s="341"/>
      <c r="Y1136" s="341"/>
      <c r="Z1136" s="341"/>
      <c r="AA1136" s="341"/>
      <c r="AB1136" s="341"/>
      <c r="AC1136" s="341"/>
      <c r="AD1136" s="341"/>
      <c r="AE1136" s="341"/>
      <c r="AF1136" s="341"/>
    </row>
    <row r="1137" spans="1:32" ht="15">
      <c r="A1137" s="341"/>
      <c r="B1137" s="365"/>
      <c r="C1137" s="365"/>
      <c r="D1137" s="366"/>
      <c r="E1137" s="366"/>
      <c r="F1137" s="367"/>
      <c r="G1137" s="367"/>
      <c r="H1137" s="366"/>
      <c r="I1137" s="366"/>
      <c r="J1137" s="368"/>
      <c r="K1137" s="368"/>
      <c r="L1137" s="341"/>
      <c r="M1137" s="341"/>
      <c r="N1137" s="341"/>
      <c r="O1137" s="341"/>
      <c r="P1137" s="341"/>
      <c r="Q1137" s="341"/>
      <c r="R1137" s="341"/>
      <c r="S1137" s="341"/>
      <c r="T1137" s="341"/>
      <c r="U1137" s="341"/>
      <c r="V1137" s="341"/>
      <c r="W1137" s="341"/>
      <c r="X1137" s="341"/>
      <c r="Y1137" s="341"/>
      <c r="Z1137" s="341"/>
      <c r="AA1137" s="341"/>
      <c r="AB1137" s="341"/>
      <c r="AC1137" s="341"/>
      <c r="AD1137" s="341"/>
      <c r="AE1137" s="341"/>
      <c r="AF1137" s="341"/>
    </row>
    <row r="1138" spans="1:32" ht="15">
      <c r="A1138" s="341"/>
      <c r="B1138" s="365"/>
      <c r="C1138" s="365"/>
      <c r="D1138" s="366"/>
      <c r="E1138" s="366"/>
      <c r="F1138" s="367"/>
      <c r="G1138" s="367"/>
      <c r="H1138" s="366"/>
      <c r="I1138" s="366"/>
      <c r="J1138" s="368"/>
      <c r="K1138" s="368"/>
      <c r="L1138" s="341"/>
      <c r="M1138" s="341"/>
      <c r="N1138" s="341"/>
      <c r="O1138" s="341"/>
      <c r="P1138" s="341"/>
      <c r="Q1138" s="341"/>
      <c r="R1138" s="341"/>
      <c r="S1138" s="341"/>
      <c r="T1138" s="341"/>
      <c r="U1138" s="341"/>
      <c r="V1138" s="341"/>
      <c r="W1138" s="341"/>
      <c r="X1138" s="341"/>
      <c r="Y1138" s="341"/>
      <c r="Z1138" s="341"/>
      <c r="AA1138" s="341"/>
      <c r="AB1138" s="341"/>
      <c r="AC1138" s="341"/>
      <c r="AD1138" s="341"/>
      <c r="AE1138" s="341"/>
      <c r="AF1138" s="341"/>
    </row>
    <row r="1139" spans="1:32" ht="15">
      <c r="A1139" s="341"/>
      <c r="B1139" s="365"/>
      <c r="C1139" s="365"/>
      <c r="D1139" s="366"/>
      <c r="E1139" s="366"/>
      <c r="F1139" s="367"/>
      <c r="G1139" s="367"/>
      <c r="H1139" s="366"/>
      <c r="I1139" s="366"/>
      <c r="J1139" s="368"/>
      <c r="K1139" s="368"/>
      <c r="L1139" s="341"/>
      <c r="M1139" s="341"/>
      <c r="N1139" s="341"/>
      <c r="O1139" s="341"/>
      <c r="P1139" s="341"/>
      <c r="Q1139" s="341"/>
      <c r="R1139" s="341"/>
      <c r="S1139" s="341"/>
      <c r="T1139" s="341"/>
      <c r="U1139" s="341"/>
      <c r="V1139" s="341"/>
      <c r="W1139" s="341"/>
      <c r="X1139" s="341"/>
      <c r="Y1139" s="341"/>
      <c r="Z1139" s="341"/>
      <c r="AA1139" s="341"/>
      <c r="AB1139" s="341"/>
      <c r="AC1139" s="341"/>
      <c r="AD1139" s="341"/>
      <c r="AE1139" s="341"/>
      <c r="AF1139" s="341"/>
    </row>
    <row r="1140" spans="1:32" ht="15">
      <c r="A1140" s="341"/>
      <c r="B1140" s="365"/>
      <c r="C1140" s="365"/>
      <c r="D1140" s="366"/>
      <c r="E1140" s="366"/>
      <c r="F1140" s="367"/>
      <c r="G1140" s="367"/>
      <c r="H1140" s="366"/>
      <c r="I1140" s="366"/>
      <c r="J1140" s="368"/>
      <c r="K1140" s="368"/>
      <c r="L1140" s="341"/>
      <c r="M1140" s="341"/>
      <c r="N1140" s="341"/>
      <c r="O1140" s="341"/>
      <c r="P1140" s="341"/>
      <c r="Q1140" s="341"/>
      <c r="R1140" s="341"/>
      <c r="S1140" s="341"/>
      <c r="T1140" s="341"/>
      <c r="U1140" s="341"/>
      <c r="V1140" s="341"/>
      <c r="W1140" s="341"/>
      <c r="X1140" s="341"/>
      <c r="Y1140" s="341"/>
      <c r="Z1140" s="341"/>
      <c r="AA1140" s="341"/>
      <c r="AB1140" s="341"/>
      <c r="AC1140" s="341"/>
      <c r="AD1140" s="341"/>
      <c r="AE1140" s="341"/>
      <c r="AF1140" s="341"/>
    </row>
    <row r="1141" spans="1:32" ht="15">
      <c r="A1141" s="341"/>
      <c r="B1141" s="365"/>
      <c r="C1141" s="365"/>
      <c r="D1141" s="366"/>
      <c r="E1141" s="366"/>
      <c r="F1141" s="367"/>
      <c r="G1141" s="367"/>
      <c r="H1141" s="366"/>
      <c r="I1141" s="366"/>
      <c r="J1141" s="368"/>
      <c r="K1141" s="368"/>
      <c r="L1141" s="341"/>
      <c r="M1141" s="341"/>
      <c r="N1141" s="341"/>
      <c r="O1141" s="341"/>
      <c r="P1141" s="341"/>
      <c r="Q1141" s="341"/>
      <c r="R1141" s="341"/>
      <c r="S1141" s="341"/>
      <c r="T1141" s="341"/>
      <c r="U1141" s="341"/>
      <c r="V1141" s="341"/>
      <c r="W1141" s="341"/>
      <c r="X1141" s="341"/>
      <c r="Y1141" s="341"/>
      <c r="Z1141" s="341"/>
      <c r="AA1141" s="341"/>
      <c r="AB1141" s="341"/>
      <c r="AC1141" s="341"/>
      <c r="AD1141" s="341"/>
      <c r="AE1141" s="341"/>
      <c r="AF1141" s="341"/>
    </row>
    <row r="1142" spans="1:32" ht="15">
      <c r="A1142" s="341"/>
      <c r="B1142" s="365"/>
      <c r="C1142" s="365"/>
      <c r="D1142" s="366"/>
      <c r="E1142" s="366"/>
      <c r="F1142" s="367"/>
      <c r="G1142" s="367"/>
      <c r="H1142" s="366"/>
      <c r="I1142" s="366"/>
      <c r="J1142" s="368"/>
      <c r="K1142" s="368"/>
      <c r="L1142" s="341"/>
      <c r="M1142" s="341"/>
      <c r="N1142" s="341"/>
      <c r="O1142" s="341"/>
      <c r="P1142" s="341"/>
      <c r="Q1142" s="341"/>
      <c r="R1142" s="341"/>
      <c r="S1142" s="341"/>
      <c r="T1142" s="341"/>
      <c r="U1142" s="341"/>
      <c r="V1142" s="341"/>
      <c r="W1142" s="341"/>
      <c r="X1142" s="341"/>
      <c r="Y1142" s="341"/>
      <c r="Z1142" s="341"/>
      <c r="AA1142" s="341"/>
      <c r="AB1142" s="341"/>
      <c r="AC1142" s="341"/>
      <c r="AD1142" s="341"/>
      <c r="AE1142" s="341"/>
      <c r="AF1142" s="341"/>
    </row>
    <row r="1143" spans="1:32" ht="15">
      <c r="A1143" s="341"/>
      <c r="B1143" s="365"/>
      <c r="C1143" s="365"/>
      <c r="D1143" s="366"/>
      <c r="E1143" s="366"/>
      <c r="F1143" s="367"/>
      <c r="G1143" s="367"/>
      <c r="H1143" s="366"/>
      <c r="I1143" s="366"/>
      <c r="J1143" s="368"/>
      <c r="K1143" s="368"/>
      <c r="L1143" s="341"/>
      <c r="M1143" s="341"/>
      <c r="N1143" s="341"/>
      <c r="O1143" s="341"/>
      <c r="P1143" s="341"/>
      <c r="Q1143" s="341"/>
      <c r="R1143" s="341"/>
      <c r="S1143" s="341"/>
      <c r="T1143" s="341"/>
      <c r="U1143" s="341"/>
      <c r="V1143" s="341"/>
      <c r="W1143" s="341"/>
      <c r="X1143" s="341"/>
      <c r="Y1143" s="341"/>
      <c r="Z1143" s="341"/>
      <c r="AA1143" s="341"/>
      <c r="AB1143" s="341"/>
      <c r="AC1143" s="341"/>
      <c r="AD1143" s="341"/>
      <c r="AE1143" s="341"/>
      <c r="AF1143" s="341"/>
    </row>
    <row r="1144" spans="1:32" ht="15">
      <c r="A1144" s="341"/>
      <c r="B1144" s="365"/>
      <c r="C1144" s="365"/>
      <c r="D1144" s="366"/>
      <c r="E1144" s="366"/>
      <c r="F1144" s="367"/>
      <c r="G1144" s="367"/>
      <c r="H1144" s="366"/>
      <c r="I1144" s="366"/>
      <c r="J1144" s="368"/>
      <c r="K1144" s="368"/>
      <c r="L1144" s="341"/>
      <c r="M1144" s="341"/>
      <c r="N1144" s="341"/>
      <c r="O1144" s="341"/>
      <c r="P1144" s="341"/>
      <c r="Q1144" s="341"/>
      <c r="R1144" s="341"/>
      <c r="S1144" s="341"/>
      <c r="T1144" s="341"/>
      <c r="U1144" s="341"/>
      <c r="V1144" s="341"/>
      <c r="W1144" s="341"/>
      <c r="X1144" s="341"/>
      <c r="Y1144" s="341"/>
      <c r="Z1144" s="341"/>
      <c r="AA1144" s="341"/>
      <c r="AB1144" s="341"/>
      <c r="AC1144" s="341"/>
      <c r="AD1144" s="341"/>
      <c r="AE1144" s="341"/>
      <c r="AF1144" s="341"/>
    </row>
    <row r="1145" spans="1:32" ht="15">
      <c r="A1145" s="341"/>
      <c r="B1145" s="365"/>
      <c r="C1145" s="365"/>
      <c r="D1145" s="366"/>
      <c r="E1145" s="366"/>
      <c r="F1145" s="367"/>
      <c r="G1145" s="367"/>
      <c r="H1145" s="366"/>
      <c r="I1145" s="366"/>
      <c r="J1145" s="368"/>
      <c r="K1145" s="368"/>
      <c r="L1145" s="341"/>
      <c r="M1145" s="341"/>
      <c r="N1145" s="341"/>
      <c r="O1145" s="341"/>
      <c r="P1145" s="341"/>
      <c r="Q1145" s="341"/>
      <c r="R1145" s="341"/>
      <c r="S1145" s="341"/>
      <c r="T1145" s="341"/>
      <c r="U1145" s="341"/>
      <c r="V1145" s="341"/>
      <c r="W1145" s="341"/>
      <c r="X1145" s="341"/>
      <c r="Y1145" s="341"/>
      <c r="Z1145" s="341"/>
      <c r="AA1145" s="341"/>
      <c r="AB1145" s="341"/>
      <c r="AC1145" s="341"/>
      <c r="AD1145" s="341"/>
      <c r="AE1145" s="341"/>
      <c r="AF1145" s="341"/>
    </row>
    <row r="1146" spans="1:32" ht="15">
      <c r="A1146" s="341"/>
      <c r="B1146" s="365"/>
      <c r="C1146" s="365"/>
      <c r="D1146" s="366"/>
      <c r="E1146" s="366"/>
      <c r="F1146" s="367"/>
      <c r="G1146" s="367"/>
      <c r="H1146" s="366"/>
      <c r="I1146" s="366"/>
      <c r="J1146" s="368"/>
      <c r="K1146" s="368"/>
      <c r="L1146" s="341"/>
      <c r="M1146" s="341"/>
      <c r="N1146" s="341"/>
      <c r="O1146" s="341"/>
      <c r="P1146" s="341"/>
      <c r="Q1146" s="341"/>
      <c r="R1146" s="341"/>
      <c r="S1146" s="341"/>
      <c r="T1146" s="341"/>
      <c r="U1146" s="341"/>
      <c r="V1146" s="341"/>
      <c r="W1146" s="341"/>
      <c r="X1146" s="341"/>
      <c r="Y1146" s="341"/>
      <c r="Z1146" s="341"/>
      <c r="AA1146" s="341"/>
      <c r="AB1146" s="341"/>
      <c r="AC1146" s="341"/>
      <c r="AD1146" s="341"/>
      <c r="AE1146" s="341"/>
      <c r="AF1146" s="341"/>
    </row>
    <row r="1147" spans="1:32" ht="15">
      <c r="A1147" s="341"/>
      <c r="B1147" s="365"/>
      <c r="C1147" s="365"/>
      <c r="D1147" s="366"/>
      <c r="E1147" s="366"/>
      <c r="F1147" s="367"/>
      <c r="G1147" s="367"/>
      <c r="H1147" s="366"/>
      <c r="I1147" s="366"/>
      <c r="J1147" s="368"/>
      <c r="K1147" s="368"/>
      <c r="L1147" s="341"/>
      <c r="M1147" s="341"/>
      <c r="N1147" s="341"/>
      <c r="O1147" s="341"/>
      <c r="P1147" s="341"/>
      <c r="Q1147" s="341"/>
      <c r="R1147" s="341"/>
      <c r="S1147" s="341"/>
      <c r="T1147" s="341"/>
      <c r="U1147" s="341"/>
      <c r="V1147" s="341"/>
      <c r="W1147" s="341"/>
      <c r="X1147" s="341"/>
      <c r="Y1147" s="341"/>
      <c r="Z1147" s="341"/>
      <c r="AA1147" s="341"/>
      <c r="AB1147" s="341"/>
      <c r="AC1147" s="341"/>
      <c r="AD1147" s="341"/>
      <c r="AE1147" s="341"/>
      <c r="AF1147" s="341"/>
    </row>
    <row r="1148" spans="1:32" ht="15">
      <c r="A1148" s="341"/>
      <c r="B1148" s="365"/>
      <c r="C1148" s="365"/>
      <c r="D1148" s="366"/>
      <c r="E1148" s="366"/>
      <c r="F1148" s="367"/>
      <c r="G1148" s="367"/>
      <c r="H1148" s="366"/>
      <c r="I1148" s="366"/>
      <c r="J1148" s="368"/>
      <c r="K1148" s="368"/>
      <c r="L1148" s="341"/>
      <c r="M1148" s="341"/>
      <c r="N1148" s="341"/>
      <c r="O1148" s="341"/>
      <c r="P1148" s="341"/>
      <c r="Q1148" s="341"/>
      <c r="R1148" s="341"/>
      <c r="S1148" s="341"/>
      <c r="T1148" s="341"/>
      <c r="U1148" s="341"/>
      <c r="V1148" s="341"/>
      <c r="W1148" s="341"/>
      <c r="X1148" s="341"/>
      <c r="Y1148" s="341"/>
      <c r="Z1148" s="341"/>
      <c r="AA1148" s="341"/>
      <c r="AB1148" s="341"/>
      <c r="AC1148" s="341"/>
      <c r="AD1148" s="341"/>
      <c r="AE1148" s="341"/>
      <c r="AF1148" s="341"/>
    </row>
    <row r="1149" spans="1:32" ht="15">
      <c r="A1149" s="341"/>
      <c r="B1149" s="365"/>
      <c r="C1149" s="365"/>
      <c r="D1149" s="366"/>
      <c r="E1149" s="366"/>
      <c r="F1149" s="367"/>
      <c r="G1149" s="367"/>
      <c r="H1149" s="366"/>
      <c r="I1149" s="366"/>
      <c r="J1149" s="368"/>
      <c r="K1149" s="368"/>
      <c r="L1149" s="341"/>
      <c r="M1149" s="341"/>
      <c r="N1149" s="341"/>
      <c r="O1149" s="341"/>
      <c r="P1149" s="341"/>
      <c r="Q1149" s="341"/>
      <c r="R1149" s="341"/>
      <c r="S1149" s="341"/>
      <c r="T1149" s="341"/>
      <c r="U1149" s="341"/>
      <c r="V1149" s="341"/>
      <c r="W1149" s="341"/>
      <c r="X1149" s="341"/>
      <c r="Y1149" s="341"/>
      <c r="Z1149" s="341"/>
      <c r="AA1149" s="341"/>
      <c r="AB1149" s="341"/>
      <c r="AC1149" s="341"/>
      <c r="AD1149" s="341"/>
      <c r="AE1149" s="341"/>
      <c r="AF1149" s="341"/>
    </row>
    <row r="1150" spans="1:32" ht="15">
      <c r="A1150" s="341"/>
      <c r="B1150" s="365"/>
      <c r="C1150" s="365"/>
      <c r="D1150" s="366"/>
      <c r="E1150" s="366"/>
      <c r="F1150" s="367"/>
      <c r="G1150" s="367"/>
      <c r="H1150" s="366"/>
      <c r="I1150" s="366"/>
      <c r="J1150" s="368"/>
      <c r="K1150" s="368"/>
      <c r="L1150" s="341"/>
      <c r="M1150" s="341"/>
      <c r="N1150" s="341"/>
      <c r="O1150" s="341"/>
      <c r="P1150" s="341"/>
      <c r="Q1150" s="341"/>
      <c r="R1150" s="341"/>
      <c r="S1150" s="341"/>
      <c r="T1150" s="341"/>
      <c r="U1150" s="341"/>
      <c r="V1150" s="341"/>
      <c r="W1150" s="341"/>
      <c r="X1150" s="341"/>
      <c r="Y1150" s="341"/>
      <c r="Z1150" s="341"/>
      <c r="AA1150" s="341"/>
      <c r="AB1150" s="341"/>
      <c r="AC1150" s="341"/>
      <c r="AD1150" s="341"/>
      <c r="AE1150" s="341"/>
      <c r="AF1150" s="341"/>
    </row>
    <row r="1151" spans="1:32" ht="15">
      <c r="A1151" s="341"/>
      <c r="B1151" s="365"/>
      <c r="C1151" s="365"/>
      <c r="D1151" s="366"/>
      <c r="E1151" s="366"/>
      <c r="F1151" s="367"/>
      <c r="G1151" s="367"/>
      <c r="H1151" s="366"/>
      <c r="I1151" s="366"/>
      <c r="J1151" s="368"/>
      <c r="K1151" s="368"/>
      <c r="L1151" s="341"/>
      <c r="M1151" s="341"/>
      <c r="N1151" s="341"/>
      <c r="O1151" s="341"/>
      <c r="P1151" s="341"/>
      <c r="Q1151" s="341"/>
      <c r="R1151" s="341"/>
      <c r="S1151" s="341"/>
      <c r="T1151" s="341"/>
      <c r="U1151" s="341"/>
      <c r="V1151" s="341"/>
      <c r="W1151" s="341"/>
      <c r="X1151" s="341"/>
      <c r="Y1151" s="341"/>
      <c r="Z1151" s="341"/>
      <c r="AA1151" s="341"/>
      <c r="AB1151" s="341"/>
      <c r="AC1151" s="341"/>
      <c r="AD1151" s="341"/>
      <c r="AE1151" s="341"/>
      <c r="AF1151" s="341"/>
    </row>
    <row r="1152" spans="1:32" ht="15">
      <c r="A1152" s="341"/>
      <c r="B1152" s="365"/>
      <c r="C1152" s="365"/>
      <c r="D1152" s="366"/>
      <c r="E1152" s="366"/>
      <c r="F1152" s="367"/>
      <c r="G1152" s="367"/>
      <c r="H1152" s="366"/>
      <c r="I1152" s="366"/>
      <c r="J1152" s="368"/>
      <c r="K1152" s="368"/>
      <c r="L1152" s="341"/>
      <c r="M1152" s="341"/>
      <c r="N1152" s="341"/>
      <c r="O1152" s="341"/>
      <c r="P1152" s="341"/>
      <c r="Q1152" s="341"/>
      <c r="R1152" s="341"/>
      <c r="S1152" s="341"/>
      <c r="T1152" s="341"/>
      <c r="U1152" s="341"/>
      <c r="V1152" s="341"/>
      <c r="W1152" s="341"/>
      <c r="X1152" s="341"/>
      <c r="Y1152" s="341"/>
      <c r="Z1152" s="341"/>
      <c r="AA1152" s="341"/>
      <c r="AB1152" s="341"/>
      <c r="AC1152" s="341"/>
      <c r="AD1152" s="341"/>
      <c r="AE1152" s="341"/>
      <c r="AF1152" s="341"/>
    </row>
    <row r="1153" spans="1:32" ht="15">
      <c r="A1153" s="341"/>
      <c r="B1153" s="365"/>
      <c r="C1153" s="365"/>
      <c r="D1153" s="366"/>
      <c r="E1153" s="366"/>
      <c r="F1153" s="367"/>
      <c r="G1153" s="367"/>
      <c r="H1153" s="366"/>
      <c r="I1153" s="366"/>
      <c r="J1153" s="368"/>
      <c r="K1153" s="368"/>
      <c r="L1153" s="341"/>
      <c r="M1153" s="341"/>
      <c r="N1153" s="341"/>
      <c r="O1153" s="341"/>
      <c r="P1153" s="341"/>
      <c r="Q1153" s="341"/>
      <c r="R1153" s="341"/>
      <c r="S1153" s="341"/>
      <c r="T1153" s="341"/>
      <c r="U1153" s="341"/>
      <c r="V1153" s="341"/>
      <c r="W1153" s="341"/>
      <c r="X1153" s="341"/>
      <c r="Y1153" s="341"/>
      <c r="Z1153" s="341"/>
      <c r="AA1153" s="341"/>
      <c r="AB1153" s="341"/>
      <c r="AC1153" s="341"/>
      <c r="AD1153" s="341"/>
      <c r="AE1153" s="341"/>
      <c r="AF1153" s="341"/>
    </row>
    <row r="1154" spans="1:32" ht="15">
      <c r="A1154" s="341"/>
      <c r="B1154" s="365"/>
      <c r="C1154" s="365"/>
      <c r="D1154" s="366"/>
      <c r="E1154" s="366"/>
      <c r="F1154" s="367"/>
      <c r="G1154" s="367"/>
      <c r="H1154" s="366"/>
      <c r="I1154" s="366"/>
      <c r="J1154" s="368"/>
      <c r="K1154" s="368"/>
      <c r="L1154" s="341"/>
      <c r="M1154" s="341"/>
      <c r="N1154" s="341"/>
      <c r="O1154" s="341"/>
      <c r="P1154" s="341"/>
      <c r="Q1154" s="341"/>
      <c r="R1154" s="341"/>
      <c r="S1154" s="341"/>
      <c r="T1154" s="341"/>
      <c r="U1154" s="341"/>
      <c r="V1154" s="341"/>
      <c r="W1154" s="341"/>
      <c r="X1154" s="341"/>
      <c r="Y1154" s="341"/>
      <c r="Z1154" s="341"/>
      <c r="AA1154" s="341"/>
      <c r="AB1154" s="341"/>
      <c r="AC1154" s="341"/>
      <c r="AD1154" s="341"/>
      <c r="AE1154" s="341"/>
      <c r="AF1154" s="341"/>
    </row>
    <row r="1155" spans="1:32" ht="15">
      <c r="A1155" s="341"/>
      <c r="B1155" s="365"/>
      <c r="C1155" s="365"/>
      <c r="D1155" s="366"/>
      <c r="E1155" s="366"/>
      <c r="F1155" s="367"/>
      <c r="G1155" s="367"/>
      <c r="H1155" s="366"/>
      <c r="I1155" s="366"/>
      <c r="J1155" s="368"/>
      <c r="K1155" s="368"/>
      <c r="L1155" s="341"/>
      <c r="M1155" s="341"/>
      <c r="N1155" s="341"/>
      <c r="O1155" s="341"/>
      <c r="P1155" s="341"/>
      <c r="Q1155" s="341"/>
      <c r="R1155" s="341"/>
      <c r="S1155" s="341"/>
      <c r="T1155" s="341"/>
      <c r="U1155" s="341"/>
      <c r="V1155" s="341"/>
      <c r="W1155" s="341"/>
      <c r="X1155" s="341"/>
      <c r="Y1155" s="341"/>
      <c r="Z1155" s="341"/>
      <c r="AA1155" s="341"/>
      <c r="AB1155" s="341"/>
      <c r="AC1155" s="341"/>
      <c r="AD1155" s="341"/>
      <c r="AE1155" s="341"/>
      <c r="AF1155" s="341"/>
    </row>
    <row r="1156" spans="1:32" ht="15">
      <c r="A1156" s="341"/>
      <c r="B1156" s="365"/>
      <c r="C1156" s="365"/>
      <c r="D1156" s="366"/>
      <c r="E1156" s="366"/>
      <c r="F1156" s="367"/>
      <c r="G1156" s="367"/>
      <c r="H1156" s="366"/>
      <c r="I1156" s="366"/>
      <c r="J1156" s="368"/>
      <c r="K1156" s="368"/>
      <c r="L1156" s="341"/>
      <c r="M1156" s="341"/>
      <c r="N1156" s="341"/>
      <c r="O1156" s="341"/>
      <c r="P1156" s="341"/>
      <c r="Q1156" s="341"/>
      <c r="R1156" s="341"/>
      <c r="S1156" s="341"/>
      <c r="T1156" s="341"/>
      <c r="U1156" s="341"/>
      <c r="V1156" s="341"/>
      <c r="W1156" s="341"/>
      <c r="X1156" s="341"/>
      <c r="Y1156" s="341"/>
      <c r="Z1156" s="341"/>
      <c r="AA1156" s="341"/>
      <c r="AB1156" s="341"/>
      <c r="AC1156" s="341"/>
      <c r="AD1156" s="341"/>
      <c r="AE1156" s="341"/>
      <c r="AF1156" s="341"/>
    </row>
    <row r="1157" spans="1:32" ht="15">
      <c r="A1157" s="341"/>
      <c r="B1157" s="365"/>
      <c r="C1157" s="365"/>
      <c r="D1157" s="366"/>
      <c r="E1157" s="366"/>
      <c r="F1157" s="367"/>
      <c r="G1157" s="367"/>
      <c r="H1157" s="366"/>
      <c r="I1157" s="366"/>
      <c r="J1157" s="368"/>
      <c r="K1157" s="368"/>
      <c r="L1157" s="341"/>
      <c r="M1157" s="341"/>
      <c r="N1157" s="341"/>
      <c r="O1157" s="341"/>
      <c r="P1157" s="341"/>
      <c r="Q1157" s="341"/>
      <c r="R1157" s="341"/>
      <c r="S1157" s="341"/>
      <c r="T1157" s="341"/>
      <c r="U1157" s="341"/>
      <c r="V1157" s="341"/>
      <c r="W1157" s="341"/>
      <c r="X1157" s="341"/>
      <c r="Y1157" s="341"/>
      <c r="Z1157" s="341"/>
      <c r="AA1157" s="341"/>
      <c r="AB1157" s="341"/>
      <c r="AC1157" s="341"/>
      <c r="AD1157" s="341"/>
      <c r="AE1157" s="341"/>
      <c r="AF1157" s="341"/>
    </row>
    <row r="1158" spans="1:32" ht="15">
      <c r="A1158" s="341"/>
      <c r="B1158" s="365"/>
      <c r="C1158" s="365"/>
      <c r="D1158" s="366"/>
      <c r="E1158" s="366"/>
      <c r="F1158" s="367"/>
      <c r="G1158" s="367"/>
      <c r="H1158" s="366"/>
      <c r="I1158" s="366"/>
      <c r="J1158" s="368"/>
      <c r="K1158" s="368"/>
      <c r="L1158" s="341"/>
      <c r="M1158" s="341"/>
      <c r="N1158" s="341"/>
      <c r="O1158" s="341"/>
      <c r="P1158" s="341"/>
      <c r="Q1158" s="341"/>
      <c r="R1158" s="341"/>
      <c r="S1158" s="341"/>
      <c r="T1158" s="341"/>
      <c r="U1158" s="341"/>
      <c r="V1158" s="341"/>
      <c r="W1158" s="341"/>
      <c r="X1158" s="341"/>
      <c r="Y1158" s="341"/>
      <c r="Z1158" s="341"/>
      <c r="AA1158" s="341"/>
      <c r="AB1158" s="341"/>
      <c r="AC1158" s="341"/>
      <c r="AD1158" s="341"/>
      <c r="AE1158" s="341"/>
      <c r="AF1158" s="341"/>
    </row>
    <row r="1159" spans="1:32" ht="15">
      <c r="A1159" s="341"/>
      <c r="B1159" s="365"/>
      <c r="C1159" s="365"/>
      <c r="D1159" s="366"/>
      <c r="E1159" s="366"/>
      <c r="F1159" s="367"/>
      <c r="G1159" s="367"/>
      <c r="H1159" s="366"/>
      <c r="I1159" s="366"/>
      <c r="J1159" s="368"/>
      <c r="K1159" s="368"/>
      <c r="L1159" s="341"/>
      <c r="M1159" s="341"/>
      <c r="N1159" s="341"/>
      <c r="O1159" s="341"/>
      <c r="P1159" s="341"/>
      <c r="Q1159" s="341"/>
      <c r="R1159" s="341"/>
      <c r="S1159" s="341"/>
      <c r="T1159" s="341"/>
      <c r="U1159" s="341"/>
      <c r="V1159" s="341"/>
      <c r="W1159" s="341"/>
      <c r="X1159" s="341"/>
      <c r="Y1159" s="341"/>
      <c r="Z1159" s="341"/>
      <c r="AA1159" s="341"/>
      <c r="AB1159" s="341"/>
      <c r="AC1159" s="341"/>
      <c r="AD1159" s="341"/>
      <c r="AE1159" s="341"/>
      <c r="AF1159" s="341"/>
    </row>
    <row r="1160" spans="1:32" ht="15">
      <c r="A1160" s="341"/>
      <c r="B1160" s="365"/>
      <c r="C1160" s="365"/>
      <c r="D1160" s="366"/>
      <c r="E1160" s="366"/>
      <c r="F1160" s="367"/>
      <c r="G1160" s="367"/>
      <c r="H1160" s="366"/>
      <c r="I1160" s="366"/>
      <c r="J1160" s="368"/>
      <c r="K1160" s="368"/>
      <c r="L1160" s="341"/>
      <c r="M1160" s="341"/>
      <c r="N1160" s="341"/>
      <c r="O1160" s="341"/>
      <c r="P1160" s="341"/>
      <c r="Q1160" s="341"/>
      <c r="R1160" s="341"/>
      <c r="S1160" s="341"/>
      <c r="T1160" s="341"/>
      <c r="U1160" s="341"/>
      <c r="V1160" s="341"/>
      <c r="W1160" s="341"/>
      <c r="X1160" s="341"/>
      <c r="Y1160" s="341"/>
      <c r="Z1160" s="341"/>
      <c r="AA1160" s="341"/>
      <c r="AB1160" s="341"/>
      <c r="AC1160" s="341"/>
      <c r="AD1160" s="341"/>
      <c r="AE1160" s="341"/>
      <c r="AF1160" s="341"/>
    </row>
    <row r="1161" spans="1:32" ht="15">
      <c r="A1161" s="341"/>
      <c r="B1161" s="365"/>
      <c r="C1161" s="365"/>
      <c r="D1161" s="366"/>
      <c r="E1161" s="366"/>
      <c r="F1161" s="367"/>
      <c r="G1161" s="367"/>
      <c r="H1161" s="366"/>
      <c r="I1161" s="366"/>
      <c r="J1161" s="368"/>
      <c r="K1161" s="368"/>
      <c r="L1161" s="341"/>
      <c r="M1161" s="341"/>
      <c r="N1161" s="341"/>
      <c r="O1161" s="341"/>
      <c r="P1161" s="341"/>
      <c r="Q1161" s="341"/>
      <c r="R1161" s="341"/>
      <c r="S1161" s="341"/>
      <c r="T1161" s="341"/>
      <c r="U1161" s="341"/>
      <c r="V1161" s="341"/>
      <c r="W1161" s="341"/>
      <c r="X1161" s="341"/>
      <c r="Y1161" s="341"/>
      <c r="Z1161" s="341"/>
      <c r="AA1161" s="341"/>
      <c r="AB1161" s="341"/>
      <c r="AC1161" s="341"/>
      <c r="AD1161" s="341"/>
      <c r="AE1161" s="341"/>
      <c r="AF1161" s="341"/>
    </row>
    <row r="1162" spans="1:32" ht="15">
      <c r="A1162" s="341"/>
      <c r="B1162" s="365"/>
      <c r="C1162" s="365"/>
      <c r="D1162" s="366"/>
      <c r="E1162" s="366"/>
      <c r="F1162" s="367"/>
      <c r="G1162" s="367"/>
      <c r="H1162" s="366"/>
      <c r="I1162" s="366"/>
      <c r="J1162" s="368"/>
      <c r="K1162" s="368"/>
      <c r="L1162" s="341"/>
      <c r="M1162" s="341"/>
      <c r="N1162" s="341"/>
      <c r="O1162" s="341"/>
      <c r="P1162" s="341"/>
      <c r="Q1162" s="341"/>
      <c r="R1162" s="341"/>
      <c r="S1162" s="341"/>
      <c r="T1162" s="341"/>
      <c r="U1162" s="341"/>
      <c r="V1162" s="341"/>
      <c r="W1162" s="341"/>
      <c r="X1162" s="341"/>
      <c r="Y1162" s="341"/>
      <c r="Z1162" s="341"/>
      <c r="AA1162" s="341"/>
      <c r="AB1162" s="341"/>
      <c r="AC1162" s="341"/>
      <c r="AD1162" s="341"/>
      <c r="AE1162" s="341"/>
      <c r="AF1162" s="341"/>
    </row>
    <row r="1163" spans="1:32" ht="15">
      <c r="A1163" s="341"/>
      <c r="B1163" s="365"/>
      <c r="C1163" s="365"/>
      <c r="D1163" s="366"/>
      <c r="E1163" s="366"/>
      <c r="F1163" s="367"/>
      <c r="G1163" s="367"/>
      <c r="H1163" s="366"/>
      <c r="I1163" s="366"/>
      <c r="J1163" s="368"/>
      <c r="K1163" s="368"/>
      <c r="L1163" s="341"/>
      <c r="M1163" s="341"/>
      <c r="N1163" s="341"/>
      <c r="O1163" s="341"/>
      <c r="P1163" s="341"/>
      <c r="Q1163" s="341"/>
      <c r="R1163" s="341"/>
      <c r="S1163" s="341"/>
      <c r="T1163" s="341"/>
      <c r="U1163" s="341"/>
      <c r="V1163" s="341"/>
      <c r="W1163" s="341"/>
      <c r="X1163" s="341"/>
      <c r="Y1163" s="341"/>
      <c r="Z1163" s="341"/>
      <c r="AA1163" s="341"/>
      <c r="AB1163" s="341"/>
      <c r="AC1163" s="341"/>
      <c r="AD1163" s="341"/>
      <c r="AE1163" s="341"/>
      <c r="AF1163" s="341"/>
    </row>
    <row r="1164" spans="1:32" ht="15">
      <c r="A1164" s="341"/>
      <c r="B1164" s="365"/>
      <c r="C1164" s="365"/>
      <c r="D1164" s="366"/>
      <c r="E1164" s="366"/>
      <c r="F1164" s="367"/>
      <c r="G1164" s="367"/>
      <c r="H1164" s="366"/>
      <c r="I1164" s="366"/>
      <c r="J1164" s="368"/>
      <c r="K1164" s="368"/>
      <c r="L1164" s="341"/>
      <c r="M1164" s="341"/>
      <c r="N1164" s="341"/>
      <c r="O1164" s="341"/>
      <c r="P1164" s="341"/>
      <c r="Q1164" s="341"/>
      <c r="R1164" s="341"/>
      <c r="S1164" s="341"/>
      <c r="T1164" s="341"/>
      <c r="U1164" s="341"/>
      <c r="V1164" s="341"/>
      <c r="W1164" s="341"/>
      <c r="X1164" s="341"/>
      <c r="Y1164" s="341"/>
      <c r="Z1164" s="341"/>
      <c r="AA1164" s="341"/>
      <c r="AB1164" s="341"/>
      <c r="AC1164" s="341"/>
      <c r="AD1164" s="341"/>
      <c r="AE1164" s="341"/>
      <c r="AF1164" s="341"/>
    </row>
    <row r="1165" spans="1:32" ht="15">
      <c r="A1165" s="341"/>
      <c r="B1165" s="365"/>
      <c r="C1165" s="365"/>
      <c r="D1165" s="366"/>
      <c r="E1165" s="366"/>
      <c r="F1165" s="367"/>
      <c r="G1165" s="367"/>
      <c r="H1165" s="366"/>
      <c r="I1165" s="366"/>
      <c r="J1165" s="368"/>
      <c r="K1165" s="368"/>
      <c r="L1165" s="341"/>
      <c r="M1165" s="341"/>
      <c r="N1165" s="341"/>
      <c r="O1165" s="341"/>
      <c r="P1165" s="341"/>
      <c r="Q1165" s="341"/>
      <c r="R1165" s="341"/>
      <c r="S1165" s="341"/>
      <c r="T1165" s="341"/>
      <c r="U1165" s="341"/>
      <c r="V1165" s="341"/>
      <c r="W1165" s="341"/>
      <c r="X1165" s="341"/>
      <c r="Y1165" s="341"/>
      <c r="Z1165" s="341"/>
      <c r="AA1165" s="341"/>
      <c r="AB1165" s="341"/>
      <c r="AC1165" s="341"/>
      <c r="AD1165" s="341"/>
      <c r="AE1165" s="341"/>
      <c r="AF1165" s="341"/>
    </row>
    <row r="1166" spans="1:32" ht="15">
      <c r="A1166" s="341"/>
      <c r="B1166" s="365"/>
      <c r="C1166" s="365"/>
      <c r="D1166" s="366"/>
      <c r="E1166" s="366"/>
      <c r="F1166" s="367"/>
      <c r="G1166" s="367"/>
      <c r="H1166" s="366"/>
      <c r="I1166" s="366"/>
      <c r="J1166" s="368"/>
      <c r="K1166" s="368"/>
      <c r="L1166" s="341"/>
      <c r="M1166" s="341"/>
      <c r="N1166" s="341"/>
      <c r="O1166" s="341"/>
      <c r="P1166" s="341"/>
      <c r="Q1166" s="341"/>
      <c r="R1166" s="341"/>
      <c r="S1166" s="341"/>
      <c r="T1166" s="341"/>
      <c r="U1166" s="341"/>
      <c r="V1166" s="341"/>
      <c r="W1166" s="341"/>
      <c r="X1166" s="341"/>
      <c r="Y1166" s="341"/>
      <c r="Z1166" s="341"/>
      <c r="AA1166" s="341"/>
      <c r="AB1166" s="341"/>
      <c r="AC1166" s="341"/>
      <c r="AD1166" s="341"/>
      <c r="AE1166" s="341"/>
      <c r="AF1166" s="341"/>
    </row>
    <row r="1167" spans="1:32" ht="15">
      <c r="A1167" s="341"/>
      <c r="B1167" s="365"/>
      <c r="C1167" s="365"/>
      <c r="D1167" s="366"/>
      <c r="E1167" s="366"/>
      <c r="F1167" s="367"/>
      <c r="G1167" s="367"/>
      <c r="H1167" s="366"/>
      <c r="I1167" s="366"/>
      <c r="J1167" s="368"/>
      <c r="K1167" s="368"/>
      <c r="L1167" s="341"/>
      <c r="M1167" s="341"/>
      <c r="N1167" s="341"/>
      <c r="O1167" s="341"/>
      <c r="P1167" s="341"/>
      <c r="Q1167" s="341"/>
      <c r="R1167" s="341"/>
      <c r="S1167" s="341"/>
      <c r="T1167" s="341"/>
      <c r="U1167" s="341"/>
      <c r="V1167" s="341"/>
      <c r="W1167" s="341"/>
      <c r="X1167" s="341"/>
      <c r="Y1167" s="341"/>
      <c r="Z1167" s="341"/>
      <c r="AA1167" s="341"/>
      <c r="AB1167" s="341"/>
      <c r="AC1167" s="341"/>
      <c r="AD1167" s="341"/>
      <c r="AE1167" s="341"/>
      <c r="AF1167" s="341"/>
    </row>
    <row r="1168" spans="1:32" ht="15">
      <c r="A1168" s="341"/>
      <c r="B1168" s="365"/>
      <c r="C1168" s="365"/>
      <c r="D1168" s="366"/>
      <c r="E1168" s="366"/>
      <c r="F1168" s="367"/>
      <c r="G1168" s="367"/>
      <c r="H1168" s="366"/>
      <c r="I1168" s="366"/>
      <c r="J1168" s="368"/>
      <c r="K1168" s="368"/>
      <c r="L1168" s="341"/>
      <c r="M1168" s="341"/>
      <c r="N1168" s="341"/>
      <c r="O1168" s="341"/>
      <c r="P1168" s="341"/>
      <c r="Q1168" s="341"/>
      <c r="R1168" s="341"/>
      <c r="S1168" s="341"/>
      <c r="T1168" s="341"/>
      <c r="U1168" s="341"/>
      <c r="V1168" s="341"/>
      <c r="W1168" s="341"/>
      <c r="X1168" s="341"/>
      <c r="Y1168" s="341"/>
      <c r="Z1168" s="341"/>
      <c r="AA1168" s="341"/>
      <c r="AB1168" s="341"/>
      <c r="AC1168" s="341"/>
      <c r="AD1168" s="341"/>
      <c r="AE1168" s="341"/>
      <c r="AF1168" s="341"/>
    </row>
    <row r="1169" spans="1:32" ht="15">
      <c r="A1169" s="341"/>
      <c r="B1169" s="365"/>
      <c r="C1169" s="365"/>
      <c r="D1169" s="366"/>
      <c r="E1169" s="366"/>
      <c r="F1169" s="367"/>
      <c r="G1169" s="367"/>
      <c r="H1169" s="366"/>
      <c r="I1169" s="366"/>
      <c r="J1169" s="368"/>
      <c r="K1169" s="368"/>
      <c r="L1169" s="341"/>
      <c r="M1169" s="341"/>
      <c r="N1169" s="341"/>
      <c r="O1169" s="341"/>
      <c r="P1169" s="341"/>
      <c r="Q1169" s="341"/>
      <c r="R1169" s="341"/>
      <c r="S1169" s="341"/>
      <c r="T1169" s="341"/>
      <c r="U1169" s="341"/>
      <c r="V1169" s="341"/>
      <c r="W1169" s="341"/>
      <c r="X1169" s="341"/>
      <c r="Y1169" s="341"/>
      <c r="Z1169" s="341"/>
      <c r="AA1169" s="341"/>
      <c r="AB1169" s="341"/>
      <c r="AC1169" s="341"/>
      <c r="AD1169" s="341"/>
      <c r="AE1169" s="341"/>
      <c r="AF1169" s="341"/>
    </row>
    <row r="1170" spans="1:32" ht="15">
      <c r="A1170" s="341"/>
      <c r="B1170" s="365"/>
      <c r="C1170" s="365"/>
      <c r="D1170" s="366"/>
      <c r="E1170" s="366"/>
      <c r="F1170" s="367"/>
      <c r="G1170" s="367"/>
      <c r="H1170" s="366"/>
      <c r="I1170" s="366"/>
      <c r="J1170" s="368"/>
      <c r="K1170" s="368"/>
      <c r="L1170" s="341"/>
      <c r="M1170" s="341"/>
      <c r="N1170" s="341"/>
      <c r="O1170" s="341"/>
      <c r="P1170" s="341"/>
      <c r="Q1170" s="341"/>
      <c r="R1170" s="341"/>
      <c r="S1170" s="341"/>
      <c r="T1170" s="341"/>
      <c r="U1170" s="341"/>
      <c r="V1170" s="341"/>
      <c r="W1170" s="341"/>
      <c r="X1170" s="341"/>
      <c r="Y1170" s="341"/>
      <c r="Z1170" s="341"/>
      <c r="AA1170" s="341"/>
      <c r="AB1170" s="341"/>
      <c r="AC1170" s="341"/>
      <c r="AD1170" s="341"/>
      <c r="AE1170" s="341"/>
      <c r="AF1170" s="341"/>
    </row>
    <row r="1171" spans="1:32" ht="15">
      <c r="A1171" s="341"/>
      <c r="B1171" s="365"/>
      <c r="C1171" s="365"/>
      <c r="D1171" s="366"/>
      <c r="E1171" s="366"/>
      <c r="F1171" s="367"/>
      <c r="G1171" s="367"/>
      <c r="H1171" s="366"/>
      <c r="I1171" s="366"/>
      <c r="J1171" s="368"/>
      <c r="K1171" s="368"/>
      <c r="L1171" s="341"/>
      <c r="M1171" s="341"/>
      <c r="N1171" s="341"/>
      <c r="O1171" s="341"/>
      <c r="P1171" s="341"/>
      <c r="Q1171" s="341"/>
      <c r="R1171" s="341"/>
      <c r="S1171" s="341"/>
      <c r="T1171" s="341"/>
      <c r="U1171" s="341"/>
      <c r="V1171" s="341"/>
      <c r="W1171" s="341"/>
      <c r="X1171" s="341"/>
      <c r="Y1171" s="341"/>
      <c r="Z1171" s="341"/>
      <c r="AA1171" s="341"/>
      <c r="AB1171" s="341"/>
      <c r="AC1171" s="341"/>
      <c r="AD1171" s="341"/>
      <c r="AE1171" s="341"/>
      <c r="AF1171" s="341"/>
    </row>
    <row r="1172" spans="1:32" ht="15">
      <c r="A1172" s="341"/>
      <c r="B1172" s="365"/>
      <c r="C1172" s="365"/>
      <c r="D1172" s="366"/>
      <c r="E1172" s="366"/>
      <c r="F1172" s="367"/>
      <c r="G1172" s="367"/>
      <c r="H1172" s="366"/>
      <c r="I1172" s="366"/>
      <c r="J1172" s="368"/>
      <c r="K1172" s="368"/>
      <c r="L1172" s="341"/>
      <c r="M1172" s="341"/>
      <c r="N1172" s="341"/>
      <c r="O1172" s="341"/>
      <c r="P1172" s="341"/>
      <c r="Q1172" s="341"/>
      <c r="R1172" s="341"/>
      <c r="S1172" s="341"/>
      <c r="T1172" s="341"/>
      <c r="U1172" s="341"/>
      <c r="V1172" s="341"/>
      <c r="W1172" s="341"/>
      <c r="X1172" s="341"/>
      <c r="Y1172" s="341"/>
      <c r="Z1172" s="341"/>
      <c r="AA1172" s="341"/>
      <c r="AB1172" s="341"/>
      <c r="AC1172" s="341"/>
      <c r="AD1172" s="341"/>
      <c r="AE1172" s="341"/>
      <c r="AF1172" s="341"/>
    </row>
    <row r="1173" spans="1:32" ht="15">
      <c r="A1173" s="341"/>
      <c r="B1173" s="365"/>
      <c r="C1173" s="365"/>
      <c r="D1173" s="366"/>
      <c r="E1173" s="366"/>
      <c r="F1173" s="367"/>
      <c r="G1173" s="367"/>
      <c r="H1173" s="366"/>
      <c r="I1173" s="366"/>
      <c r="J1173" s="368"/>
      <c r="K1173" s="368"/>
      <c r="L1173" s="341"/>
      <c r="M1173" s="341"/>
      <c r="N1173" s="341"/>
      <c r="O1173" s="341"/>
      <c r="P1173" s="341"/>
      <c r="Q1173" s="341"/>
      <c r="R1173" s="341"/>
      <c r="S1173" s="341"/>
      <c r="T1173" s="341"/>
      <c r="U1173" s="341"/>
      <c r="V1173" s="341"/>
      <c r="W1173" s="341"/>
      <c r="X1173" s="341"/>
      <c r="Y1173" s="341"/>
      <c r="Z1173" s="341"/>
      <c r="AA1173" s="341"/>
      <c r="AB1173" s="341"/>
      <c r="AC1173" s="341"/>
      <c r="AD1173" s="341"/>
      <c r="AE1173" s="341"/>
      <c r="AF1173" s="341"/>
    </row>
    <row r="1174" spans="1:32" ht="15">
      <c r="A1174" s="341"/>
      <c r="B1174" s="365"/>
      <c r="C1174" s="365"/>
      <c r="D1174" s="366"/>
      <c r="E1174" s="366"/>
      <c r="F1174" s="367"/>
      <c r="G1174" s="367"/>
      <c r="H1174" s="366"/>
      <c r="I1174" s="366"/>
      <c r="J1174" s="368"/>
      <c r="K1174" s="368"/>
      <c r="L1174" s="341"/>
      <c r="M1174" s="341"/>
      <c r="N1174" s="341"/>
      <c r="O1174" s="341"/>
      <c r="P1174" s="341"/>
      <c r="Q1174" s="341"/>
      <c r="R1174" s="341"/>
      <c r="S1174" s="341"/>
      <c r="T1174" s="341"/>
      <c r="U1174" s="341"/>
      <c r="V1174" s="341"/>
      <c r="W1174" s="341"/>
      <c r="X1174" s="341"/>
      <c r="Y1174" s="341"/>
      <c r="Z1174" s="341"/>
      <c r="AA1174" s="341"/>
      <c r="AB1174" s="341"/>
      <c r="AC1174" s="341"/>
      <c r="AD1174" s="341"/>
      <c r="AE1174" s="341"/>
      <c r="AF1174" s="341"/>
    </row>
    <row r="1175" spans="1:32" ht="15">
      <c r="A1175" s="341"/>
      <c r="B1175" s="365"/>
      <c r="C1175" s="365"/>
      <c r="D1175" s="366"/>
      <c r="E1175" s="366"/>
      <c r="F1175" s="367"/>
      <c r="G1175" s="367"/>
      <c r="H1175" s="366"/>
      <c r="I1175" s="366"/>
      <c r="J1175" s="368"/>
      <c r="K1175" s="368"/>
      <c r="L1175" s="341"/>
      <c r="M1175" s="341"/>
      <c r="N1175" s="341"/>
      <c r="O1175" s="341"/>
      <c r="P1175" s="341"/>
      <c r="Q1175" s="341"/>
      <c r="R1175" s="341"/>
      <c r="S1175" s="341"/>
      <c r="T1175" s="341"/>
      <c r="U1175" s="341"/>
      <c r="V1175" s="341"/>
      <c r="W1175" s="341"/>
      <c r="X1175" s="341"/>
      <c r="Y1175" s="341"/>
      <c r="Z1175" s="341"/>
      <c r="AA1175" s="341"/>
      <c r="AB1175" s="341"/>
      <c r="AC1175" s="341"/>
      <c r="AD1175" s="341"/>
      <c r="AE1175" s="341"/>
      <c r="AF1175" s="341"/>
    </row>
    <row r="1176" spans="1:32" ht="15">
      <c r="A1176" s="341"/>
      <c r="B1176" s="365"/>
      <c r="C1176" s="365"/>
      <c r="D1176" s="366"/>
      <c r="E1176" s="366"/>
      <c r="F1176" s="367"/>
      <c r="G1176" s="367"/>
      <c r="H1176" s="366"/>
      <c r="I1176" s="366"/>
      <c r="J1176" s="368"/>
      <c r="K1176" s="368"/>
      <c r="L1176" s="341"/>
      <c r="M1176" s="341"/>
      <c r="N1176" s="341"/>
      <c r="O1176" s="341"/>
      <c r="P1176" s="341"/>
      <c r="Q1176" s="341"/>
      <c r="R1176" s="341"/>
      <c r="S1176" s="341"/>
      <c r="T1176" s="341"/>
      <c r="U1176" s="341"/>
      <c r="V1176" s="341"/>
      <c r="W1176" s="341"/>
      <c r="X1176" s="341"/>
      <c r="Y1176" s="341"/>
      <c r="Z1176" s="341"/>
      <c r="AA1176" s="341"/>
      <c r="AB1176" s="341"/>
      <c r="AC1176" s="341"/>
      <c r="AD1176" s="341"/>
      <c r="AE1176" s="341"/>
      <c r="AF1176" s="341"/>
    </row>
    <row r="1177" spans="1:32" ht="15">
      <c r="A1177" s="341"/>
      <c r="B1177" s="365"/>
      <c r="C1177" s="365"/>
      <c r="D1177" s="366"/>
      <c r="E1177" s="366"/>
      <c r="F1177" s="367"/>
      <c r="G1177" s="367"/>
      <c r="H1177" s="366"/>
      <c r="I1177" s="366"/>
      <c r="J1177" s="368"/>
      <c r="K1177" s="368"/>
      <c r="L1177" s="341"/>
      <c r="M1177" s="341"/>
      <c r="N1177" s="341"/>
      <c r="O1177" s="341"/>
      <c r="P1177" s="341"/>
      <c r="Q1177" s="341"/>
      <c r="R1177" s="341"/>
      <c r="S1177" s="341"/>
      <c r="T1177" s="341"/>
      <c r="U1177" s="341"/>
      <c r="V1177" s="341"/>
      <c r="W1177" s="341"/>
      <c r="X1177" s="341"/>
      <c r="Y1177" s="341"/>
      <c r="Z1177" s="341"/>
      <c r="AA1177" s="341"/>
      <c r="AB1177" s="341"/>
      <c r="AC1177" s="341"/>
      <c r="AD1177" s="341"/>
      <c r="AE1177" s="341"/>
      <c r="AF1177" s="341"/>
    </row>
    <row r="1178" spans="1:32" ht="15">
      <c r="A1178" s="341"/>
      <c r="B1178" s="365"/>
      <c r="C1178" s="365"/>
      <c r="D1178" s="366"/>
      <c r="E1178" s="366"/>
      <c r="F1178" s="367"/>
      <c r="G1178" s="367"/>
      <c r="H1178" s="366"/>
      <c r="I1178" s="366"/>
      <c r="J1178" s="368"/>
      <c r="K1178" s="368"/>
      <c r="L1178" s="341"/>
      <c r="M1178" s="341"/>
      <c r="N1178" s="341"/>
      <c r="O1178" s="341"/>
      <c r="P1178" s="341"/>
      <c r="Q1178" s="341"/>
      <c r="R1178" s="341"/>
      <c r="S1178" s="341"/>
      <c r="T1178" s="341"/>
      <c r="U1178" s="341"/>
      <c r="V1178" s="341"/>
      <c r="W1178" s="341"/>
      <c r="X1178" s="341"/>
      <c r="Y1178" s="341"/>
      <c r="Z1178" s="341"/>
      <c r="AA1178" s="341"/>
      <c r="AB1178" s="341"/>
      <c r="AC1178" s="341"/>
      <c r="AD1178" s="341"/>
      <c r="AE1178" s="341"/>
      <c r="AF1178" s="341"/>
    </row>
    <row r="1179" spans="1:32" ht="15">
      <c r="A1179" s="341"/>
      <c r="B1179" s="365"/>
      <c r="C1179" s="365"/>
      <c r="D1179" s="366"/>
      <c r="E1179" s="366"/>
      <c r="F1179" s="367"/>
      <c r="G1179" s="367"/>
      <c r="H1179" s="366"/>
      <c r="I1179" s="366"/>
      <c r="J1179" s="368"/>
      <c r="K1179" s="368"/>
      <c r="L1179" s="341"/>
      <c r="M1179" s="341"/>
      <c r="N1179" s="341"/>
      <c r="O1179" s="341"/>
      <c r="P1179" s="341"/>
      <c r="Q1179" s="341"/>
      <c r="R1179" s="341"/>
      <c r="S1179" s="341"/>
      <c r="T1179" s="341"/>
      <c r="U1179" s="341"/>
      <c r="V1179" s="341"/>
      <c r="W1179" s="341"/>
      <c r="X1179" s="341"/>
      <c r="Y1179" s="341"/>
      <c r="Z1179" s="341"/>
      <c r="AA1179" s="341"/>
      <c r="AB1179" s="341"/>
      <c r="AC1179" s="341"/>
      <c r="AD1179" s="341"/>
      <c r="AE1179" s="341"/>
      <c r="AF1179" s="341"/>
    </row>
    <row r="1180" spans="1:32" ht="15">
      <c r="A1180" s="341"/>
      <c r="B1180" s="365"/>
      <c r="C1180" s="365"/>
      <c r="D1180" s="366"/>
      <c r="E1180" s="366"/>
      <c r="F1180" s="367"/>
      <c r="G1180" s="367"/>
      <c r="H1180" s="366"/>
      <c r="I1180" s="366"/>
      <c r="J1180" s="368"/>
      <c r="K1180" s="368"/>
      <c r="L1180" s="341"/>
      <c r="M1180" s="341"/>
      <c r="N1180" s="341"/>
      <c r="O1180" s="341"/>
      <c r="P1180" s="341"/>
      <c r="Q1180" s="341"/>
      <c r="R1180" s="341"/>
      <c r="S1180" s="341"/>
      <c r="T1180" s="341"/>
      <c r="U1180" s="341"/>
      <c r="V1180" s="341"/>
      <c r="W1180" s="341"/>
      <c r="X1180" s="341"/>
      <c r="Y1180" s="341"/>
      <c r="Z1180" s="341"/>
      <c r="AA1180" s="341"/>
      <c r="AB1180" s="341"/>
      <c r="AC1180" s="341"/>
      <c r="AD1180" s="341"/>
      <c r="AE1180" s="341"/>
      <c r="AF1180" s="341"/>
    </row>
    <row r="1181" spans="1:32" ht="15">
      <c r="A1181" s="341"/>
      <c r="B1181" s="365"/>
      <c r="C1181" s="365"/>
      <c r="D1181" s="366"/>
      <c r="E1181" s="366"/>
      <c r="F1181" s="367"/>
      <c r="G1181" s="367"/>
      <c r="H1181" s="366"/>
      <c r="I1181" s="366"/>
      <c r="J1181" s="368"/>
      <c r="K1181" s="368"/>
      <c r="L1181" s="341"/>
      <c r="M1181" s="341"/>
      <c r="N1181" s="341"/>
      <c r="O1181" s="341"/>
      <c r="P1181" s="341"/>
      <c r="Q1181" s="341"/>
      <c r="R1181" s="341"/>
      <c r="S1181" s="341"/>
      <c r="T1181" s="341"/>
      <c r="U1181" s="341"/>
      <c r="V1181" s="341"/>
      <c r="W1181" s="341"/>
      <c r="X1181" s="341"/>
      <c r="Y1181" s="341"/>
      <c r="Z1181" s="341"/>
      <c r="AA1181" s="341"/>
      <c r="AB1181" s="341"/>
      <c r="AC1181" s="341"/>
      <c r="AD1181" s="341"/>
      <c r="AE1181" s="341"/>
      <c r="AF1181" s="341"/>
    </row>
    <row r="1182" spans="1:32" ht="15">
      <c r="A1182" s="341"/>
      <c r="B1182" s="365"/>
      <c r="C1182" s="365"/>
      <c r="D1182" s="366"/>
      <c r="E1182" s="366"/>
      <c r="F1182" s="367"/>
      <c r="G1182" s="367"/>
      <c r="H1182" s="366"/>
      <c r="I1182" s="366"/>
      <c r="J1182" s="368"/>
      <c r="K1182" s="368"/>
      <c r="L1182" s="341"/>
      <c r="M1182" s="341"/>
      <c r="N1182" s="341"/>
      <c r="O1182" s="341"/>
      <c r="P1182" s="341"/>
      <c r="Q1182" s="341"/>
      <c r="R1182" s="341"/>
      <c r="S1182" s="341"/>
      <c r="T1182" s="341"/>
      <c r="U1182" s="341"/>
      <c r="V1182" s="341"/>
      <c r="W1182" s="341"/>
      <c r="X1182" s="341"/>
      <c r="Y1182" s="341"/>
      <c r="Z1182" s="341"/>
      <c r="AA1182" s="341"/>
      <c r="AB1182" s="341"/>
      <c r="AC1182" s="341"/>
      <c r="AD1182" s="341"/>
      <c r="AE1182" s="341"/>
      <c r="AF1182" s="341"/>
    </row>
    <row r="1183" spans="1:32" ht="15">
      <c r="A1183" s="341"/>
      <c r="B1183" s="365"/>
      <c r="C1183" s="365"/>
      <c r="D1183" s="366"/>
      <c r="E1183" s="366"/>
      <c r="F1183" s="367"/>
      <c r="G1183" s="367"/>
      <c r="H1183" s="366"/>
      <c r="I1183" s="366"/>
      <c r="J1183" s="368"/>
      <c r="K1183" s="368"/>
      <c r="L1183" s="341"/>
      <c r="M1183" s="341"/>
      <c r="N1183" s="341"/>
      <c r="O1183" s="341"/>
      <c r="P1183" s="341"/>
      <c r="Q1183" s="341"/>
      <c r="R1183" s="341"/>
      <c r="S1183" s="341"/>
      <c r="T1183" s="341"/>
      <c r="U1183" s="341"/>
      <c r="V1183" s="341"/>
      <c r="W1183" s="341"/>
      <c r="X1183" s="341"/>
      <c r="Y1183" s="341"/>
      <c r="Z1183" s="341"/>
      <c r="AA1183" s="341"/>
      <c r="AB1183" s="341"/>
      <c r="AC1183" s="341"/>
      <c r="AD1183" s="341"/>
      <c r="AE1183" s="341"/>
      <c r="AF1183" s="341"/>
    </row>
    <row r="1184" spans="1:32" ht="15">
      <c r="A1184" s="341"/>
      <c r="B1184" s="365"/>
      <c r="C1184" s="365"/>
      <c r="D1184" s="366"/>
      <c r="E1184" s="366"/>
      <c r="F1184" s="367"/>
      <c r="G1184" s="367"/>
      <c r="H1184" s="366"/>
      <c r="I1184" s="366"/>
      <c r="J1184" s="368"/>
      <c r="K1184" s="368"/>
      <c r="L1184" s="341"/>
      <c r="M1184" s="341"/>
      <c r="N1184" s="341"/>
      <c r="O1184" s="341"/>
      <c r="P1184" s="341"/>
      <c r="Q1184" s="341"/>
      <c r="R1184" s="341"/>
      <c r="S1184" s="341"/>
      <c r="T1184" s="341"/>
      <c r="U1184" s="341"/>
      <c r="V1184" s="341"/>
      <c r="W1184" s="341"/>
      <c r="X1184" s="341"/>
      <c r="Y1184" s="341"/>
      <c r="Z1184" s="341"/>
      <c r="AA1184" s="341"/>
      <c r="AB1184" s="341"/>
      <c r="AC1184" s="341"/>
      <c r="AD1184" s="341"/>
      <c r="AE1184" s="341"/>
      <c r="AF1184" s="341"/>
    </row>
    <row r="1185" spans="1:32" ht="15">
      <c r="A1185" s="341"/>
      <c r="B1185" s="365"/>
      <c r="C1185" s="365"/>
      <c r="D1185" s="366"/>
      <c r="E1185" s="366"/>
      <c r="F1185" s="367"/>
      <c r="G1185" s="367"/>
      <c r="H1185" s="366"/>
      <c r="I1185" s="366"/>
      <c r="J1185" s="368"/>
      <c r="K1185" s="368"/>
      <c r="L1185" s="341"/>
      <c r="M1185" s="341"/>
      <c r="N1185" s="341"/>
      <c r="O1185" s="341"/>
      <c r="P1185" s="341"/>
      <c r="Q1185" s="341"/>
      <c r="R1185" s="341"/>
      <c r="S1185" s="341"/>
      <c r="T1185" s="341"/>
      <c r="U1185" s="341"/>
      <c r="V1185" s="341"/>
      <c r="W1185" s="341"/>
      <c r="X1185" s="341"/>
      <c r="Y1185" s="341"/>
      <c r="Z1185" s="341"/>
      <c r="AA1185" s="341"/>
      <c r="AB1185" s="341"/>
      <c r="AC1185" s="341"/>
      <c r="AD1185" s="341"/>
      <c r="AE1185" s="341"/>
      <c r="AF1185" s="341"/>
    </row>
    <row r="1186" spans="1:32" ht="15">
      <c r="A1186" s="341"/>
      <c r="B1186" s="365"/>
      <c r="C1186" s="365"/>
      <c r="D1186" s="366"/>
      <c r="E1186" s="366"/>
      <c r="F1186" s="367"/>
      <c r="G1186" s="367"/>
      <c r="H1186" s="366"/>
      <c r="I1186" s="366"/>
      <c r="J1186" s="368"/>
      <c r="K1186" s="368"/>
      <c r="L1186" s="341"/>
      <c r="M1186" s="341"/>
      <c r="N1186" s="341"/>
      <c r="O1186" s="341"/>
      <c r="P1186" s="341"/>
      <c r="Q1186" s="341"/>
      <c r="R1186" s="341"/>
      <c r="S1186" s="341"/>
      <c r="T1186" s="341"/>
      <c r="U1186" s="341"/>
      <c r="V1186" s="341"/>
      <c r="W1186" s="341"/>
      <c r="X1186" s="341"/>
      <c r="Y1186" s="341"/>
      <c r="Z1186" s="341"/>
      <c r="AA1186" s="341"/>
      <c r="AB1186" s="341"/>
      <c r="AC1186" s="341"/>
      <c r="AD1186" s="341"/>
      <c r="AE1186" s="341"/>
      <c r="AF1186" s="341"/>
    </row>
    <row r="1187" spans="1:32" ht="15">
      <c r="A1187" s="341"/>
      <c r="B1187" s="365"/>
      <c r="C1187" s="365"/>
      <c r="D1187" s="366"/>
      <c r="E1187" s="366"/>
      <c r="F1187" s="367"/>
      <c r="G1187" s="367"/>
      <c r="H1187" s="366"/>
      <c r="I1187" s="366"/>
      <c r="J1187" s="368"/>
      <c r="K1187" s="368"/>
      <c r="L1187" s="341"/>
      <c r="M1187" s="341"/>
      <c r="N1187" s="341"/>
      <c r="O1187" s="341"/>
      <c r="P1187" s="341"/>
      <c r="Q1187" s="341"/>
      <c r="R1187" s="341"/>
      <c r="S1187" s="341"/>
      <c r="T1187" s="341"/>
      <c r="U1187" s="341"/>
      <c r="V1187" s="341"/>
      <c r="W1187" s="341"/>
      <c r="X1187" s="341"/>
      <c r="Y1187" s="341"/>
      <c r="Z1187" s="341"/>
      <c r="AA1187" s="341"/>
      <c r="AB1187" s="341"/>
      <c r="AC1187" s="341"/>
      <c r="AD1187" s="341"/>
      <c r="AE1187" s="341"/>
      <c r="AF1187" s="341"/>
    </row>
    <row r="1188" spans="1:32" ht="15">
      <c r="A1188" s="341"/>
      <c r="B1188" s="365"/>
      <c r="C1188" s="365"/>
      <c r="D1188" s="366"/>
      <c r="E1188" s="366"/>
      <c r="F1188" s="367"/>
      <c r="G1188" s="367"/>
      <c r="H1188" s="366"/>
      <c r="I1188" s="366"/>
      <c r="J1188" s="368"/>
      <c r="K1188" s="368"/>
      <c r="L1188" s="341"/>
      <c r="M1188" s="341"/>
      <c r="N1188" s="341"/>
      <c r="O1188" s="341"/>
      <c r="P1188" s="341"/>
      <c r="Q1188" s="341"/>
      <c r="R1188" s="341"/>
      <c r="S1188" s="341"/>
      <c r="T1188" s="341"/>
      <c r="U1188" s="341"/>
      <c r="V1188" s="341"/>
      <c r="W1188" s="341"/>
      <c r="X1188" s="341"/>
      <c r="Y1188" s="341"/>
      <c r="Z1188" s="341"/>
      <c r="AA1188" s="341"/>
      <c r="AB1188" s="341"/>
      <c r="AC1188" s="341"/>
      <c r="AD1188" s="341"/>
      <c r="AE1188" s="341"/>
      <c r="AF1188" s="341"/>
    </row>
    <row r="1189" spans="1:32" ht="15">
      <c r="A1189" s="341"/>
      <c r="B1189" s="365"/>
      <c r="C1189" s="365"/>
      <c r="D1189" s="366"/>
      <c r="E1189" s="366"/>
      <c r="F1189" s="367"/>
      <c r="G1189" s="367"/>
      <c r="H1189" s="366"/>
      <c r="I1189" s="366"/>
      <c r="J1189" s="368"/>
      <c r="K1189" s="368"/>
      <c r="L1189" s="341"/>
      <c r="M1189" s="341"/>
      <c r="N1189" s="341"/>
      <c r="O1189" s="341"/>
      <c r="P1189" s="341"/>
      <c r="Q1189" s="341"/>
      <c r="R1189" s="341"/>
      <c r="S1189" s="341"/>
      <c r="T1189" s="341"/>
      <c r="U1189" s="341"/>
      <c r="V1189" s="341"/>
      <c r="W1189" s="341"/>
      <c r="X1189" s="341"/>
      <c r="Y1189" s="341"/>
      <c r="Z1189" s="341"/>
      <c r="AA1189" s="341"/>
      <c r="AB1189" s="341"/>
      <c r="AC1189" s="341"/>
      <c r="AD1189" s="341"/>
      <c r="AE1189" s="341"/>
      <c r="AF1189" s="341"/>
    </row>
    <row r="1190" spans="1:32" ht="15">
      <c r="A1190" s="341"/>
      <c r="B1190" s="365"/>
      <c r="C1190" s="365"/>
      <c r="D1190" s="366"/>
      <c r="E1190" s="366"/>
      <c r="F1190" s="367"/>
      <c r="G1190" s="367"/>
      <c r="H1190" s="366"/>
      <c r="I1190" s="366"/>
      <c r="J1190" s="368"/>
      <c r="K1190" s="368"/>
      <c r="L1190" s="341"/>
      <c r="M1190" s="341"/>
      <c r="N1190" s="341"/>
      <c r="O1190" s="341"/>
      <c r="P1190" s="341"/>
      <c r="Q1190" s="341"/>
      <c r="R1190" s="341"/>
      <c r="S1190" s="341"/>
      <c r="T1190" s="341"/>
      <c r="U1190" s="341"/>
      <c r="V1190" s="341"/>
      <c r="W1190" s="341"/>
      <c r="X1190" s="341"/>
      <c r="Y1190" s="341"/>
      <c r="Z1190" s="341"/>
      <c r="AA1190" s="341"/>
      <c r="AB1190" s="341"/>
      <c r="AC1190" s="341"/>
      <c r="AD1190" s="341"/>
      <c r="AE1190" s="341"/>
      <c r="AF1190" s="341"/>
    </row>
    <row r="1191" spans="1:32" ht="15">
      <c r="A1191" s="341"/>
      <c r="B1191" s="365"/>
      <c r="C1191" s="365"/>
      <c r="D1191" s="366"/>
      <c r="E1191" s="366"/>
      <c r="F1191" s="367"/>
      <c r="G1191" s="367"/>
      <c r="H1191" s="366"/>
      <c r="I1191" s="366"/>
      <c r="J1191" s="368"/>
      <c r="K1191" s="368"/>
      <c r="L1191" s="341"/>
      <c r="M1191" s="341"/>
      <c r="N1191" s="341"/>
      <c r="O1191" s="341"/>
      <c r="P1191" s="341"/>
      <c r="Q1191" s="341"/>
      <c r="R1191" s="341"/>
      <c r="S1191" s="341"/>
      <c r="T1191" s="341"/>
      <c r="U1191" s="341"/>
      <c r="V1191" s="341"/>
      <c r="W1191" s="341"/>
      <c r="X1191" s="341"/>
      <c r="Y1191" s="341"/>
      <c r="Z1191" s="341"/>
      <c r="AA1191" s="341"/>
      <c r="AB1191" s="341"/>
      <c r="AC1191" s="341"/>
      <c r="AD1191" s="341"/>
      <c r="AE1191" s="341"/>
      <c r="AF1191" s="341"/>
    </row>
    <row r="1192" spans="1:32" ht="15">
      <c r="A1192" s="341"/>
      <c r="B1192" s="365"/>
      <c r="C1192" s="365"/>
      <c r="D1192" s="366"/>
      <c r="E1192" s="366"/>
      <c r="F1192" s="367"/>
      <c r="G1192" s="367"/>
      <c r="H1192" s="366"/>
      <c r="I1192" s="366"/>
      <c r="J1192" s="368"/>
      <c r="K1192" s="368"/>
      <c r="L1192" s="341"/>
      <c r="M1192" s="341"/>
      <c r="N1192" s="341"/>
      <c r="O1192" s="341"/>
      <c r="P1192" s="341"/>
      <c r="Q1192" s="341"/>
      <c r="R1192" s="341"/>
      <c r="S1192" s="341"/>
      <c r="T1192" s="341"/>
      <c r="U1192" s="341"/>
      <c r="V1192" s="341"/>
      <c r="W1192" s="341"/>
      <c r="X1192" s="341"/>
      <c r="Y1192" s="341"/>
      <c r="Z1192" s="341"/>
      <c r="AA1192" s="341"/>
      <c r="AB1192" s="341"/>
      <c r="AC1192" s="341"/>
      <c r="AD1192" s="341"/>
      <c r="AE1192" s="341"/>
      <c r="AF1192" s="341"/>
    </row>
    <row r="1193" spans="1:32" ht="15">
      <c r="A1193" s="341"/>
      <c r="B1193" s="365"/>
      <c r="C1193" s="365"/>
      <c r="D1193" s="366"/>
      <c r="E1193" s="366"/>
      <c r="F1193" s="367"/>
      <c r="G1193" s="367"/>
      <c r="H1193" s="366"/>
      <c r="I1193" s="366"/>
      <c r="J1193" s="368"/>
      <c r="K1193" s="368"/>
      <c r="L1193" s="341"/>
      <c r="M1193" s="341"/>
      <c r="N1193" s="341"/>
      <c r="O1193" s="341"/>
      <c r="P1193" s="341"/>
      <c r="Q1193" s="341"/>
      <c r="R1193" s="341"/>
      <c r="S1193" s="341"/>
      <c r="T1193" s="341"/>
      <c r="U1193" s="341"/>
      <c r="V1193" s="341"/>
      <c r="W1193" s="341"/>
      <c r="X1193" s="341"/>
      <c r="Y1193" s="341"/>
      <c r="Z1193" s="341"/>
      <c r="AA1193" s="341"/>
      <c r="AB1193" s="341"/>
      <c r="AC1193" s="341"/>
      <c r="AD1193" s="341"/>
      <c r="AE1193" s="341"/>
      <c r="AF1193" s="341"/>
    </row>
    <row r="1194" spans="1:32" ht="15">
      <c r="A1194" s="341"/>
      <c r="B1194" s="365"/>
      <c r="C1194" s="365"/>
      <c r="D1194" s="366"/>
      <c r="E1194" s="366"/>
      <c r="F1194" s="367"/>
      <c r="G1194" s="367"/>
      <c r="H1194" s="366"/>
      <c r="I1194" s="366"/>
      <c r="J1194" s="368"/>
      <c r="K1194" s="368"/>
      <c r="L1194" s="341"/>
      <c r="M1194" s="341"/>
      <c r="N1194" s="341"/>
      <c r="O1194" s="341"/>
      <c r="P1194" s="341"/>
      <c r="Q1194" s="341"/>
      <c r="R1194" s="341"/>
      <c r="S1194" s="341"/>
      <c r="T1194" s="341"/>
      <c r="U1194" s="341"/>
      <c r="V1194" s="341"/>
      <c r="W1194" s="341"/>
      <c r="X1194" s="341"/>
      <c r="Y1194" s="341"/>
      <c r="Z1194" s="341"/>
      <c r="AA1194" s="341"/>
      <c r="AB1194" s="341"/>
      <c r="AC1194" s="341"/>
      <c r="AD1194" s="341"/>
      <c r="AE1194" s="341"/>
      <c r="AF1194" s="341"/>
    </row>
    <row r="1195" spans="1:32" ht="15">
      <c r="A1195" s="341"/>
      <c r="B1195" s="365"/>
      <c r="C1195" s="365"/>
      <c r="D1195" s="366"/>
      <c r="E1195" s="366"/>
      <c r="F1195" s="367"/>
      <c r="G1195" s="367"/>
      <c r="H1195" s="366"/>
      <c r="I1195" s="366"/>
      <c r="J1195" s="368"/>
      <c r="K1195" s="368"/>
      <c r="L1195" s="341"/>
      <c r="M1195" s="341"/>
      <c r="N1195" s="341"/>
      <c r="O1195" s="341"/>
      <c r="P1195" s="341"/>
      <c r="Q1195" s="341"/>
      <c r="R1195" s="341"/>
      <c r="S1195" s="341"/>
      <c r="T1195" s="341"/>
      <c r="U1195" s="341"/>
      <c r="V1195" s="341"/>
      <c r="W1195" s="341"/>
      <c r="X1195" s="341"/>
      <c r="Y1195" s="341"/>
      <c r="Z1195" s="341"/>
      <c r="AA1195" s="341"/>
      <c r="AB1195" s="341"/>
      <c r="AC1195" s="341"/>
      <c r="AD1195" s="341"/>
      <c r="AE1195" s="341"/>
      <c r="AF1195" s="341"/>
    </row>
    <row r="1196" spans="1:32" ht="15">
      <c r="A1196" s="341"/>
      <c r="B1196" s="365"/>
      <c r="C1196" s="365"/>
      <c r="D1196" s="366"/>
      <c r="E1196" s="366"/>
      <c r="F1196" s="367"/>
      <c r="G1196" s="367"/>
      <c r="H1196" s="366"/>
      <c r="I1196" s="366"/>
      <c r="J1196" s="368"/>
      <c r="K1196" s="368"/>
      <c r="L1196" s="341"/>
      <c r="M1196" s="341"/>
      <c r="N1196" s="341"/>
      <c r="O1196" s="341"/>
      <c r="P1196" s="341"/>
      <c r="Q1196" s="341"/>
      <c r="R1196" s="341"/>
      <c r="S1196" s="341"/>
      <c r="T1196" s="341"/>
      <c r="U1196" s="341"/>
      <c r="V1196" s="341"/>
      <c r="W1196" s="341"/>
      <c r="X1196" s="341"/>
      <c r="Y1196" s="341"/>
      <c r="Z1196" s="341"/>
      <c r="AA1196" s="341"/>
      <c r="AB1196" s="341"/>
      <c r="AC1196" s="341"/>
      <c r="AD1196" s="341"/>
      <c r="AE1196" s="341"/>
      <c r="AF1196" s="341"/>
    </row>
    <row r="1197" spans="1:32" ht="15">
      <c r="A1197" s="341"/>
      <c r="B1197" s="365"/>
      <c r="C1197" s="365"/>
      <c r="D1197" s="366"/>
      <c r="E1197" s="366"/>
      <c r="F1197" s="367"/>
      <c r="G1197" s="367"/>
      <c r="H1197" s="366"/>
      <c r="I1197" s="366"/>
      <c r="J1197" s="368"/>
      <c r="K1197" s="368"/>
      <c r="L1197" s="341"/>
      <c r="M1197" s="341"/>
      <c r="N1197" s="341"/>
      <c r="O1197" s="341"/>
      <c r="P1197" s="341"/>
      <c r="Q1197" s="341"/>
      <c r="R1197" s="341"/>
      <c r="S1197" s="341"/>
      <c r="T1197" s="341"/>
      <c r="U1197" s="341"/>
      <c r="V1197" s="341"/>
      <c r="W1197" s="341"/>
      <c r="X1197" s="341"/>
      <c r="Y1197" s="341"/>
      <c r="Z1197" s="341"/>
      <c r="AA1197" s="341"/>
      <c r="AB1197" s="341"/>
      <c r="AC1197" s="341"/>
      <c r="AD1197" s="341"/>
      <c r="AE1197" s="341"/>
      <c r="AF1197" s="341"/>
    </row>
    <row r="1198" spans="1:32" ht="15">
      <c r="A1198" s="341"/>
      <c r="B1198" s="365"/>
      <c r="C1198" s="365"/>
      <c r="D1198" s="366"/>
      <c r="E1198" s="366"/>
      <c r="F1198" s="367"/>
      <c r="G1198" s="367"/>
      <c r="H1198" s="366"/>
      <c r="I1198" s="366"/>
      <c r="J1198" s="368"/>
      <c r="K1198" s="368"/>
      <c r="L1198" s="341"/>
      <c r="M1198" s="341"/>
      <c r="N1198" s="341"/>
      <c r="O1198" s="341"/>
      <c r="P1198" s="341"/>
      <c r="Q1198" s="341"/>
      <c r="R1198" s="341"/>
      <c r="S1198" s="341"/>
      <c r="T1198" s="341"/>
      <c r="U1198" s="341"/>
      <c r="V1198" s="341"/>
      <c r="W1198" s="341"/>
      <c r="X1198" s="341"/>
      <c r="Y1198" s="341"/>
      <c r="Z1198" s="341"/>
      <c r="AA1198" s="341"/>
      <c r="AB1198" s="341"/>
      <c r="AC1198" s="341"/>
      <c r="AD1198" s="341"/>
      <c r="AE1198" s="341"/>
      <c r="AF1198" s="341"/>
    </row>
    <row r="1199" spans="1:32" ht="15">
      <c r="A1199" s="341"/>
      <c r="B1199" s="365"/>
      <c r="C1199" s="365"/>
      <c r="D1199" s="366"/>
      <c r="E1199" s="366"/>
      <c r="F1199" s="367"/>
      <c r="G1199" s="367"/>
      <c r="H1199" s="366"/>
      <c r="I1199" s="366"/>
      <c r="J1199" s="368"/>
      <c r="K1199" s="368"/>
      <c r="L1199" s="341"/>
      <c r="M1199" s="341"/>
      <c r="N1199" s="341"/>
      <c r="O1199" s="341"/>
      <c r="P1199" s="341"/>
      <c r="Q1199" s="341"/>
      <c r="R1199" s="341"/>
      <c r="S1199" s="341"/>
      <c r="T1199" s="341"/>
      <c r="U1199" s="341"/>
      <c r="V1199" s="341"/>
      <c r="W1199" s="341"/>
      <c r="X1199" s="341"/>
      <c r="Y1199" s="341"/>
      <c r="Z1199" s="341"/>
      <c r="AA1199" s="341"/>
      <c r="AB1199" s="341"/>
      <c r="AC1199" s="341"/>
      <c r="AD1199" s="341"/>
      <c r="AE1199" s="341"/>
      <c r="AF1199" s="341"/>
    </row>
    <row r="1200" spans="1:32" ht="15">
      <c r="A1200" s="341"/>
      <c r="B1200" s="365"/>
      <c r="C1200" s="365"/>
      <c r="D1200" s="366"/>
      <c r="E1200" s="366"/>
      <c r="F1200" s="367"/>
      <c r="G1200" s="367"/>
      <c r="H1200" s="366"/>
      <c r="I1200" s="366"/>
      <c r="J1200" s="368"/>
      <c r="K1200" s="368"/>
      <c r="L1200" s="341"/>
      <c r="M1200" s="341"/>
      <c r="N1200" s="341"/>
      <c r="O1200" s="341"/>
      <c r="P1200" s="341"/>
      <c r="Q1200" s="341"/>
      <c r="R1200" s="341"/>
      <c r="S1200" s="341"/>
      <c r="T1200" s="341"/>
      <c r="U1200" s="341"/>
      <c r="V1200" s="341"/>
      <c r="W1200" s="341"/>
      <c r="X1200" s="341"/>
      <c r="Y1200" s="341"/>
      <c r="Z1200" s="341"/>
      <c r="AA1200" s="341"/>
      <c r="AB1200" s="341"/>
      <c r="AC1200" s="341"/>
      <c r="AD1200" s="341"/>
      <c r="AE1200" s="341"/>
      <c r="AF1200" s="341"/>
    </row>
    <row r="1201" spans="1:32" ht="15">
      <c r="A1201" s="341"/>
      <c r="B1201" s="365"/>
      <c r="C1201" s="365"/>
      <c r="D1201" s="366"/>
      <c r="E1201" s="366"/>
      <c r="F1201" s="367"/>
      <c r="G1201" s="367"/>
      <c r="H1201" s="366"/>
      <c r="I1201" s="366"/>
      <c r="J1201" s="368"/>
      <c r="K1201" s="368"/>
      <c r="L1201" s="341"/>
      <c r="M1201" s="341"/>
      <c r="N1201" s="341"/>
      <c r="O1201" s="341"/>
      <c r="P1201" s="341"/>
      <c r="Q1201" s="341"/>
      <c r="R1201" s="341"/>
      <c r="S1201" s="341"/>
      <c r="T1201" s="341"/>
      <c r="U1201" s="341"/>
      <c r="V1201" s="341"/>
      <c r="W1201" s="341"/>
      <c r="X1201" s="341"/>
      <c r="Y1201" s="341"/>
      <c r="Z1201" s="341"/>
      <c r="AA1201" s="341"/>
      <c r="AB1201" s="341"/>
      <c r="AC1201" s="341"/>
      <c r="AD1201" s="341"/>
      <c r="AE1201" s="341"/>
      <c r="AF1201" s="341"/>
    </row>
    <row r="1202" spans="1:32" ht="15">
      <c r="A1202" s="341"/>
      <c r="B1202" s="365"/>
      <c r="C1202" s="365"/>
      <c r="D1202" s="366"/>
      <c r="E1202" s="366"/>
      <c r="F1202" s="367"/>
      <c r="G1202" s="367"/>
      <c r="H1202" s="366"/>
      <c r="I1202" s="366"/>
      <c r="J1202" s="368"/>
      <c r="K1202" s="368"/>
      <c r="L1202" s="341"/>
      <c r="M1202" s="341"/>
      <c r="N1202" s="341"/>
      <c r="O1202" s="341"/>
      <c r="P1202" s="341"/>
      <c r="Q1202" s="341"/>
      <c r="R1202" s="341"/>
      <c r="S1202" s="341"/>
      <c r="T1202" s="341"/>
      <c r="U1202" s="341"/>
      <c r="V1202" s="341"/>
      <c r="W1202" s="341"/>
      <c r="X1202" s="341"/>
      <c r="Y1202" s="341"/>
      <c r="Z1202" s="341"/>
      <c r="AA1202" s="341"/>
      <c r="AB1202" s="341"/>
      <c r="AC1202" s="341"/>
      <c r="AD1202" s="341"/>
      <c r="AE1202" s="341"/>
      <c r="AF1202" s="341"/>
    </row>
    <row r="1203" spans="1:32" ht="15">
      <c r="A1203" s="341"/>
      <c r="B1203" s="365"/>
      <c r="C1203" s="365"/>
      <c r="D1203" s="366"/>
      <c r="E1203" s="366"/>
      <c r="F1203" s="367"/>
      <c r="G1203" s="367"/>
      <c r="H1203" s="366"/>
      <c r="I1203" s="366"/>
      <c r="J1203" s="368"/>
      <c r="K1203" s="368"/>
      <c r="L1203" s="341"/>
      <c r="M1203" s="341"/>
      <c r="N1203" s="341"/>
      <c r="O1203" s="341"/>
      <c r="P1203" s="341"/>
      <c r="Q1203" s="341"/>
      <c r="R1203" s="341"/>
      <c r="S1203" s="341"/>
      <c r="T1203" s="341"/>
      <c r="U1203" s="341"/>
      <c r="V1203" s="341"/>
      <c r="W1203" s="341"/>
      <c r="X1203" s="341"/>
      <c r="Y1203" s="341"/>
      <c r="Z1203" s="341"/>
      <c r="AA1203" s="341"/>
      <c r="AB1203" s="341"/>
      <c r="AC1203" s="341"/>
      <c r="AD1203" s="341"/>
      <c r="AE1203" s="341"/>
      <c r="AF1203" s="341"/>
    </row>
    <row r="1204" spans="1:32" ht="15">
      <c r="A1204" s="341"/>
      <c r="B1204" s="365"/>
      <c r="C1204" s="365"/>
      <c r="D1204" s="366"/>
      <c r="E1204" s="366"/>
      <c r="F1204" s="367"/>
      <c r="G1204" s="367"/>
      <c r="H1204" s="366"/>
      <c r="I1204" s="366"/>
      <c r="J1204" s="368"/>
      <c r="K1204" s="368"/>
      <c r="L1204" s="341"/>
      <c r="M1204" s="341"/>
      <c r="N1204" s="341"/>
      <c r="O1204" s="341"/>
      <c r="P1204" s="341"/>
      <c r="Q1204" s="341"/>
      <c r="R1204" s="341"/>
      <c r="S1204" s="341"/>
      <c r="T1204" s="341"/>
      <c r="U1204" s="341"/>
      <c r="V1204" s="341"/>
      <c r="W1204" s="341"/>
      <c r="X1204" s="341"/>
      <c r="Y1204" s="341"/>
      <c r="Z1204" s="341"/>
      <c r="AA1204" s="341"/>
      <c r="AB1204" s="341"/>
      <c r="AC1204" s="341"/>
      <c r="AD1204" s="341"/>
      <c r="AE1204" s="341"/>
      <c r="AF1204" s="341"/>
    </row>
    <row r="1205" spans="1:32" ht="15">
      <c r="A1205" s="341"/>
      <c r="B1205" s="365"/>
      <c r="C1205" s="365"/>
      <c r="D1205" s="366"/>
      <c r="E1205" s="366"/>
      <c r="F1205" s="367"/>
      <c r="G1205" s="367"/>
      <c r="H1205" s="366"/>
      <c r="I1205" s="366"/>
      <c r="J1205" s="368"/>
      <c r="K1205" s="368"/>
      <c r="L1205" s="341"/>
      <c r="M1205" s="341"/>
      <c r="N1205" s="341"/>
      <c r="O1205" s="341"/>
      <c r="P1205" s="341"/>
      <c r="Q1205" s="341"/>
      <c r="R1205" s="341"/>
      <c r="S1205" s="341"/>
      <c r="T1205" s="341"/>
      <c r="U1205" s="341"/>
      <c r="V1205" s="341"/>
      <c r="W1205" s="341"/>
      <c r="X1205" s="341"/>
      <c r="Y1205" s="341"/>
      <c r="Z1205" s="341"/>
      <c r="AA1205" s="341"/>
      <c r="AB1205" s="341"/>
      <c r="AC1205" s="341"/>
      <c r="AD1205" s="341"/>
      <c r="AE1205" s="341"/>
      <c r="AF1205" s="341"/>
    </row>
    <row r="1206" spans="1:32" ht="15">
      <c r="A1206" s="341"/>
      <c r="B1206" s="365"/>
      <c r="C1206" s="365"/>
      <c r="D1206" s="366"/>
      <c r="E1206" s="366"/>
      <c r="F1206" s="367"/>
      <c r="G1206" s="367"/>
      <c r="H1206" s="366"/>
      <c r="I1206" s="366"/>
      <c r="J1206" s="368"/>
      <c r="K1206" s="368"/>
      <c r="L1206" s="341"/>
      <c r="M1206" s="341"/>
      <c r="N1206" s="341"/>
      <c r="O1206" s="341"/>
      <c r="P1206" s="341"/>
      <c r="Q1206" s="341"/>
      <c r="R1206" s="341"/>
      <c r="S1206" s="341"/>
      <c r="T1206" s="341"/>
      <c r="U1206" s="341"/>
      <c r="V1206" s="341"/>
      <c r="W1206" s="341"/>
      <c r="X1206" s="341"/>
      <c r="Y1206" s="341"/>
      <c r="Z1206" s="341"/>
      <c r="AA1206" s="341"/>
      <c r="AB1206" s="341"/>
      <c r="AC1206" s="341"/>
      <c r="AD1206" s="341"/>
      <c r="AE1206" s="341"/>
      <c r="AF1206" s="341"/>
    </row>
    <row r="1207" spans="1:32" ht="15">
      <c r="A1207" s="341"/>
      <c r="B1207" s="365"/>
      <c r="C1207" s="365"/>
      <c r="D1207" s="366"/>
      <c r="E1207" s="366"/>
      <c r="F1207" s="367"/>
      <c r="G1207" s="367"/>
      <c r="H1207" s="366"/>
      <c r="I1207" s="366"/>
      <c r="J1207" s="368"/>
      <c r="K1207" s="368"/>
      <c r="L1207" s="341"/>
      <c r="M1207" s="341"/>
      <c r="N1207" s="341"/>
      <c r="O1207" s="341"/>
      <c r="P1207" s="341"/>
      <c r="Q1207" s="341"/>
      <c r="R1207" s="341"/>
      <c r="S1207" s="341"/>
      <c r="T1207" s="341"/>
      <c r="U1207" s="341"/>
      <c r="V1207" s="341"/>
      <c r="W1207" s="341"/>
      <c r="X1207" s="341"/>
      <c r="Y1207" s="341"/>
      <c r="Z1207" s="341"/>
      <c r="AA1207" s="341"/>
      <c r="AB1207" s="341"/>
      <c r="AC1207" s="341"/>
      <c r="AD1207" s="341"/>
      <c r="AE1207" s="341"/>
      <c r="AF1207" s="341"/>
    </row>
    <row r="1208" spans="1:32" ht="15">
      <c r="A1208" s="341"/>
      <c r="B1208" s="365"/>
      <c r="C1208" s="365"/>
      <c r="D1208" s="366"/>
      <c r="E1208" s="366"/>
      <c r="F1208" s="367"/>
      <c r="G1208" s="367"/>
      <c r="H1208" s="366"/>
      <c r="I1208" s="366"/>
      <c r="J1208" s="368"/>
      <c r="K1208" s="368"/>
      <c r="L1208" s="341"/>
      <c r="M1208" s="341"/>
      <c r="N1208" s="341"/>
      <c r="O1208" s="341"/>
      <c r="P1208" s="341"/>
      <c r="Q1208" s="341"/>
      <c r="R1208" s="341"/>
      <c r="S1208" s="341"/>
      <c r="T1208" s="341"/>
      <c r="U1208" s="341"/>
      <c r="V1208" s="341"/>
      <c r="W1208" s="341"/>
      <c r="X1208" s="341"/>
      <c r="Y1208" s="341"/>
      <c r="Z1208" s="341"/>
      <c r="AA1208" s="341"/>
      <c r="AB1208" s="341"/>
      <c r="AC1208" s="341"/>
      <c r="AD1208" s="341"/>
      <c r="AE1208" s="341"/>
      <c r="AF1208" s="341"/>
    </row>
    <row r="1209" spans="1:32" ht="15">
      <c r="A1209" s="341"/>
      <c r="B1209" s="365"/>
      <c r="C1209" s="365"/>
      <c r="D1209" s="366"/>
      <c r="E1209" s="366"/>
      <c r="F1209" s="367"/>
      <c r="G1209" s="367"/>
      <c r="H1209" s="366"/>
      <c r="I1209" s="366"/>
      <c r="J1209" s="368"/>
      <c r="K1209" s="368"/>
      <c r="L1209" s="341"/>
      <c r="M1209" s="341"/>
      <c r="N1209" s="341"/>
      <c r="O1209" s="341"/>
      <c r="P1209" s="341"/>
      <c r="Q1209" s="341"/>
      <c r="R1209" s="341"/>
      <c r="S1209" s="341"/>
      <c r="T1209" s="341"/>
      <c r="U1209" s="341"/>
      <c r="V1209" s="341"/>
      <c r="W1209" s="341"/>
      <c r="X1209" s="341"/>
      <c r="Y1209" s="341"/>
      <c r="Z1209" s="341"/>
      <c r="AA1209" s="341"/>
      <c r="AB1209" s="341"/>
      <c r="AC1209" s="341"/>
      <c r="AD1209" s="341"/>
      <c r="AE1209" s="341"/>
      <c r="AF1209" s="341"/>
    </row>
    <row r="1210" spans="1:32" ht="15">
      <c r="A1210" s="341"/>
      <c r="B1210" s="365"/>
      <c r="C1210" s="365"/>
      <c r="D1210" s="366"/>
      <c r="E1210" s="366"/>
      <c r="F1210" s="367"/>
      <c r="G1210" s="367"/>
      <c r="H1210" s="366"/>
      <c r="I1210" s="366"/>
      <c r="J1210" s="368"/>
      <c r="K1210" s="368"/>
      <c r="L1210" s="341"/>
      <c r="M1210" s="341"/>
      <c r="N1210" s="341"/>
      <c r="O1210" s="341"/>
      <c r="P1210" s="341"/>
      <c r="Q1210" s="341"/>
      <c r="R1210" s="341"/>
      <c r="S1210" s="341"/>
      <c r="T1210" s="341"/>
      <c r="U1210" s="341"/>
      <c r="V1210" s="341"/>
      <c r="W1210" s="341"/>
      <c r="X1210" s="341"/>
      <c r="Y1210" s="341"/>
      <c r="Z1210" s="341"/>
      <c r="AA1210" s="341"/>
      <c r="AB1210" s="341"/>
      <c r="AC1210" s="341"/>
      <c r="AD1210" s="341"/>
      <c r="AE1210" s="341"/>
      <c r="AF1210" s="341"/>
    </row>
    <row r="1211" spans="1:32" ht="15">
      <c r="A1211" s="341"/>
      <c r="B1211" s="365"/>
      <c r="C1211" s="365"/>
      <c r="D1211" s="366"/>
      <c r="E1211" s="366"/>
      <c r="F1211" s="367"/>
      <c r="G1211" s="367"/>
      <c r="H1211" s="366"/>
      <c r="I1211" s="366"/>
      <c r="J1211" s="368"/>
      <c r="K1211" s="368"/>
      <c r="L1211" s="341"/>
      <c r="M1211" s="341"/>
      <c r="N1211" s="341"/>
      <c r="O1211" s="341"/>
      <c r="P1211" s="341"/>
      <c r="Q1211" s="341"/>
      <c r="R1211" s="341"/>
      <c r="S1211" s="341"/>
      <c r="T1211" s="341"/>
      <c r="U1211" s="341"/>
      <c r="V1211" s="341"/>
      <c r="W1211" s="341"/>
      <c r="X1211" s="341"/>
      <c r="Y1211" s="341"/>
      <c r="Z1211" s="341"/>
      <c r="AA1211" s="341"/>
      <c r="AB1211" s="341"/>
      <c r="AC1211" s="341"/>
      <c r="AD1211" s="341"/>
      <c r="AE1211" s="341"/>
      <c r="AF1211" s="341"/>
    </row>
    <row r="1212" spans="1:32" ht="15">
      <c r="A1212" s="341"/>
      <c r="B1212" s="365"/>
      <c r="C1212" s="365"/>
      <c r="D1212" s="366"/>
      <c r="E1212" s="366"/>
      <c r="F1212" s="367"/>
      <c r="G1212" s="367"/>
      <c r="H1212" s="366"/>
      <c r="I1212" s="366"/>
      <c r="J1212" s="368"/>
      <c r="K1212" s="368"/>
      <c r="L1212" s="341"/>
      <c r="M1212" s="341"/>
      <c r="N1212" s="341"/>
      <c r="O1212" s="341"/>
      <c r="P1212" s="341"/>
      <c r="Q1212" s="341"/>
      <c r="R1212" s="341"/>
      <c r="S1212" s="341"/>
      <c r="T1212" s="341"/>
      <c r="U1212" s="341"/>
      <c r="V1212" s="341"/>
      <c r="W1212" s="341"/>
      <c r="X1212" s="341"/>
      <c r="Y1212" s="341"/>
      <c r="Z1212" s="341"/>
      <c r="AA1212" s="341"/>
      <c r="AB1212" s="341"/>
      <c r="AC1212" s="341"/>
      <c r="AD1212" s="341"/>
      <c r="AE1212" s="341"/>
      <c r="AF1212" s="341"/>
    </row>
    <row r="1213" spans="1:32" ht="15">
      <c r="A1213" s="341"/>
      <c r="B1213" s="365"/>
      <c r="C1213" s="365"/>
      <c r="D1213" s="366"/>
      <c r="E1213" s="366"/>
      <c r="F1213" s="367"/>
      <c r="G1213" s="367"/>
      <c r="H1213" s="366"/>
      <c r="I1213" s="366"/>
      <c r="J1213" s="368"/>
      <c r="K1213" s="368"/>
      <c r="L1213" s="341"/>
      <c r="M1213" s="438"/>
      <c r="N1213" s="341"/>
      <c r="O1213" s="341"/>
      <c r="P1213" s="341"/>
      <c r="Q1213" s="341"/>
      <c r="R1213" s="341"/>
      <c r="S1213" s="341"/>
      <c r="T1213" s="341"/>
      <c r="U1213" s="341"/>
      <c r="V1213" s="341"/>
      <c r="W1213" s="341"/>
      <c r="X1213" s="341"/>
      <c r="Y1213" s="341"/>
      <c r="Z1213" s="341"/>
      <c r="AA1213" s="341"/>
      <c r="AB1213" s="341"/>
      <c r="AC1213" s="341"/>
      <c r="AD1213" s="341"/>
      <c r="AE1213" s="341"/>
      <c r="AF1213" s="341"/>
    </row>
    <row r="1214" spans="1:32" ht="15">
      <c r="A1214" s="341"/>
      <c r="B1214" s="365"/>
      <c r="C1214" s="365"/>
      <c r="D1214" s="366"/>
      <c r="E1214" s="366"/>
      <c r="F1214" s="367"/>
      <c r="G1214" s="367"/>
      <c r="H1214" s="366"/>
      <c r="I1214" s="366"/>
      <c r="J1214" s="368"/>
      <c r="K1214" s="368"/>
      <c r="L1214" s="341"/>
      <c r="M1214" s="438"/>
      <c r="N1214" s="341"/>
      <c r="O1214" s="341"/>
      <c r="P1214" s="341"/>
      <c r="Q1214" s="341"/>
      <c r="R1214" s="341"/>
      <c r="S1214" s="341"/>
      <c r="T1214" s="341"/>
      <c r="U1214" s="341"/>
      <c r="V1214" s="341"/>
      <c r="W1214" s="341"/>
      <c r="X1214" s="341"/>
      <c r="Y1214" s="341"/>
      <c r="Z1214" s="341"/>
      <c r="AA1214" s="341"/>
      <c r="AB1214" s="341"/>
      <c r="AC1214" s="341"/>
      <c r="AD1214" s="341"/>
      <c r="AE1214" s="341"/>
      <c r="AF1214" s="341"/>
    </row>
    <row r="1215" spans="1:32" ht="15">
      <c r="A1215" s="341"/>
      <c r="B1215" s="365"/>
      <c r="C1215" s="365"/>
      <c r="D1215" s="366"/>
      <c r="E1215" s="366"/>
      <c r="F1215" s="367"/>
      <c r="G1215" s="367"/>
      <c r="H1215" s="366"/>
      <c r="I1215" s="366"/>
      <c r="J1215" s="368"/>
      <c r="K1215" s="368"/>
      <c r="L1215" s="341"/>
      <c r="M1215" s="438"/>
      <c r="N1215" s="341"/>
      <c r="O1215" s="341"/>
      <c r="P1215" s="341"/>
      <c r="Q1215" s="341"/>
      <c r="R1215" s="341"/>
      <c r="S1215" s="341"/>
      <c r="T1215" s="341"/>
      <c r="U1215" s="341"/>
      <c r="V1215" s="341"/>
      <c r="W1215" s="341"/>
      <c r="X1215" s="341"/>
      <c r="Y1215" s="341"/>
      <c r="Z1215" s="341"/>
      <c r="AA1215" s="341"/>
      <c r="AB1215" s="341"/>
      <c r="AC1215" s="341"/>
      <c r="AD1215" s="341"/>
      <c r="AE1215" s="341"/>
      <c r="AF1215" s="341"/>
    </row>
    <row r="1216" spans="1:32" ht="15">
      <c r="A1216" s="341"/>
      <c r="B1216" s="365"/>
      <c r="C1216" s="365"/>
      <c r="D1216" s="366"/>
      <c r="E1216" s="366"/>
      <c r="F1216" s="367"/>
      <c r="G1216" s="367"/>
      <c r="H1216" s="366"/>
      <c r="I1216" s="366"/>
      <c r="J1216" s="368"/>
      <c r="K1216" s="368"/>
      <c r="L1216" s="341"/>
      <c r="M1216" s="438"/>
      <c r="N1216" s="341"/>
      <c r="O1216" s="341"/>
      <c r="P1216" s="341"/>
      <c r="Q1216" s="341"/>
      <c r="R1216" s="341"/>
      <c r="S1216" s="341"/>
      <c r="T1216" s="341"/>
      <c r="U1216" s="341"/>
      <c r="V1216" s="341"/>
      <c r="W1216" s="341"/>
      <c r="X1216" s="341"/>
      <c r="Y1216" s="341"/>
      <c r="Z1216" s="341"/>
      <c r="AA1216" s="341"/>
      <c r="AB1216" s="341"/>
      <c r="AC1216" s="341"/>
      <c r="AD1216" s="341"/>
      <c r="AE1216" s="341"/>
      <c r="AF1216" s="341"/>
    </row>
    <row r="1217" spans="1:32" ht="15">
      <c r="A1217" s="341"/>
      <c r="B1217" s="365"/>
      <c r="C1217" s="365"/>
      <c r="D1217" s="366"/>
      <c r="E1217" s="366"/>
      <c r="F1217" s="367"/>
      <c r="G1217" s="367"/>
      <c r="H1217" s="366"/>
      <c r="I1217" s="366"/>
      <c r="J1217" s="368"/>
      <c r="K1217" s="368"/>
      <c r="L1217" s="341"/>
      <c r="M1217" s="438"/>
      <c r="N1217" s="341"/>
      <c r="O1217" s="341"/>
      <c r="P1217" s="341"/>
      <c r="Q1217" s="341"/>
      <c r="R1217" s="341"/>
      <c r="S1217" s="341"/>
      <c r="T1217" s="341"/>
      <c r="U1217" s="341"/>
      <c r="V1217" s="341"/>
      <c r="W1217" s="341"/>
      <c r="X1217" s="341"/>
      <c r="Y1217" s="341"/>
      <c r="Z1217" s="341"/>
      <c r="AA1217" s="341"/>
      <c r="AB1217" s="341"/>
      <c r="AC1217" s="341"/>
      <c r="AD1217" s="341"/>
      <c r="AE1217" s="341"/>
      <c r="AF1217" s="341"/>
    </row>
    <row r="1218" spans="1:32" ht="15">
      <c r="A1218" s="341"/>
      <c r="B1218" s="365"/>
      <c r="C1218" s="365"/>
      <c r="D1218" s="366"/>
      <c r="E1218" s="366"/>
      <c r="F1218" s="367"/>
      <c r="G1218" s="367"/>
      <c r="H1218" s="366"/>
      <c r="I1218" s="366"/>
      <c r="J1218" s="368"/>
      <c r="K1218" s="368"/>
      <c r="L1218" s="341"/>
      <c r="M1218" s="438"/>
      <c r="N1218" s="341"/>
      <c r="O1218" s="341"/>
      <c r="P1218" s="341"/>
      <c r="Q1218" s="341"/>
      <c r="R1218" s="341"/>
      <c r="S1218" s="341"/>
      <c r="T1218" s="341"/>
      <c r="U1218" s="341"/>
      <c r="V1218" s="341"/>
      <c r="W1218" s="341"/>
      <c r="X1218" s="341"/>
      <c r="Y1218" s="341"/>
      <c r="Z1218" s="341"/>
      <c r="AA1218" s="341"/>
      <c r="AB1218" s="341"/>
      <c r="AC1218" s="341"/>
      <c r="AD1218" s="341"/>
      <c r="AE1218" s="341"/>
      <c r="AF1218" s="341"/>
    </row>
  </sheetData>
  <mergeCells count="23">
    <mergeCell ref="A10:K10"/>
    <mergeCell ref="A11:K11"/>
    <mergeCell ref="A366:K366"/>
    <mergeCell ref="A374:K374"/>
    <mergeCell ref="A12:K12"/>
    <mergeCell ref="A100:K100"/>
    <mergeCell ref="B118:K118"/>
    <mergeCell ref="A159:K159"/>
    <mergeCell ref="A198:K198"/>
    <mergeCell ref="A233:K233"/>
    <mergeCell ref="A268:K268"/>
    <mergeCell ref="A6:K6"/>
    <mergeCell ref="A7:K7"/>
    <mergeCell ref="A8:C9"/>
    <mergeCell ref="D8:F9"/>
    <mergeCell ref="G8:H9"/>
    <mergeCell ref="I8:I9"/>
    <mergeCell ref="J8:J9"/>
    <mergeCell ref="A1:K1"/>
    <mergeCell ref="A2:K2"/>
    <mergeCell ref="A3:K3"/>
    <mergeCell ref="A4:K4"/>
    <mergeCell ref="A5:K5"/>
  </mergeCells>
  <hyperlinks>
    <hyperlink ref="A7" r:id="rId1" xr:uid="{00000000-0004-0000-0100-000000000000}"/>
    <hyperlink ref="A112" r:id="rId2" xr:uid="{00000000-0004-0000-0100-000001000000}"/>
    <hyperlink ref="A255" r:id="rId3" xr:uid="{00000000-0004-0000-0100-000002000000}"/>
    <hyperlink ref="B356" r:id="rId4" xr:uid="{00000000-0004-0000-0100-000003000000}"/>
  </hyperlinks>
  <printOptions horizontalCentered="1" gridLines="1"/>
  <pageMargins left="0.7" right="0.7" top="0.75" bottom="0.75" header="0" footer="0"/>
  <pageSetup paperSize="9" scale="60" pageOrder="overThenDown" orientation="landscape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 ТД АМАРЕ</vt:lpstr>
      <vt:lpstr>ПРАЙС ТД АМАРЕ (копия)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Алексеева</dc:creator>
  <cp:lastModifiedBy>Лариса Алексеева</cp:lastModifiedBy>
  <dcterms:created xsi:type="dcterms:W3CDTF">2023-01-27T10:52:16Z</dcterms:created>
  <dcterms:modified xsi:type="dcterms:W3CDTF">2023-01-27T10:52:16Z</dcterms:modified>
</cp:coreProperties>
</file>